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МКД Проект с АЦП\ДАННЫЕ\"/>
    </mc:Choice>
  </mc:AlternateContent>
  <bookViews>
    <workbookView xWindow="0" yWindow="0" windowWidth="19320" windowHeight="11640"/>
  </bookViews>
  <sheets>
    <sheet name="Инф. о МДК (прил. 1)" sheetId="1" r:id="rId1"/>
    <sheet name="Примечания 1" sheetId="4" r:id="rId2"/>
    <sheet name="ТЭ (прил. 2.1)" sheetId="2" r:id="rId3"/>
    <sheet name="ЭЭ (прил. 2.2)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Print_Titles" localSheetId="0">'Инф. о МДК (прил. 1)'!$A:$J</definedName>
    <definedName name="_xlnm.Print_Titles" localSheetId="1">'Примечания 1'!$A:$J</definedName>
    <definedName name="_xlnm.Print_Titles" localSheetId="2">'ТЭ (прил. 2.1)'!$A:$B</definedName>
    <definedName name="_xlnm.Print_Titles" localSheetId="3">'ЭЭ (прил. 2.2)'!$A:$B</definedName>
    <definedName name="_xlnm.Print_Area" localSheetId="0">'Инф. о МДК (прил. 1)'!$A$1:$AL$784</definedName>
    <definedName name="_xlnm.Print_Area" localSheetId="1">'Примечания 1'!$A$1:$Q$41</definedName>
    <definedName name="_xlnm.Print_Area" localSheetId="2">'ТЭ (прил. 2.1)'!$A$1:$AZ$788</definedName>
    <definedName name="_xlnm.Print_Area" localSheetId="3">'ЭЭ (прил. 2.2)'!$A$1:$AM$1192</definedName>
  </definedNames>
  <calcPr calcId="152511"/>
</workbook>
</file>

<file path=xl/calcChain.xml><?xml version="1.0" encoding="utf-8"?>
<calcChain xmlns="http://schemas.openxmlformats.org/spreadsheetml/2006/main">
  <c r="AM1188" i="3" l="1"/>
  <c r="AM1187" i="3"/>
  <c r="AM1186" i="3"/>
  <c r="AM1185" i="3"/>
  <c r="AM1184" i="3"/>
  <c r="AM1183" i="3"/>
  <c r="AM1182" i="3"/>
  <c r="AM1181" i="3"/>
  <c r="AM1180" i="3"/>
  <c r="AM1179" i="3"/>
  <c r="AM1178" i="3"/>
  <c r="AM1177" i="3"/>
  <c r="AM1176" i="3"/>
  <c r="AM1175" i="3"/>
  <c r="AM1174" i="3"/>
  <c r="AM1173" i="3"/>
  <c r="AM1172" i="3"/>
  <c r="AM1171" i="3"/>
  <c r="AM1170" i="3"/>
  <c r="AM1169" i="3"/>
  <c r="AM1168" i="3"/>
  <c r="AM1167" i="3"/>
  <c r="AM1166" i="3"/>
  <c r="AM1165" i="3"/>
  <c r="AM1164" i="3"/>
  <c r="AM1163" i="3"/>
  <c r="AM1162" i="3"/>
  <c r="AM1161" i="3"/>
  <c r="AM1160" i="3"/>
  <c r="AM1159" i="3"/>
  <c r="AM1158" i="3"/>
  <c r="AM1157" i="3"/>
  <c r="AM1156" i="3"/>
  <c r="AM1155" i="3"/>
  <c r="AM1154" i="3"/>
  <c r="AM1153" i="3"/>
  <c r="AM1152" i="3"/>
  <c r="AM1151" i="3"/>
  <c r="AM1150" i="3"/>
  <c r="AM1149" i="3"/>
  <c r="AM1148" i="3"/>
  <c r="AM1147" i="3"/>
  <c r="AM1146" i="3"/>
  <c r="AM1145" i="3"/>
  <c r="AM1144" i="3"/>
  <c r="AM1143" i="3"/>
  <c r="AM1142" i="3"/>
  <c r="AM1141" i="3"/>
  <c r="AM1140" i="3"/>
  <c r="AM1139" i="3"/>
  <c r="AM1138" i="3"/>
  <c r="AM1137" i="3"/>
  <c r="AM1136" i="3"/>
  <c r="AM1135" i="3"/>
  <c r="AM1134" i="3"/>
  <c r="AM1133" i="3"/>
  <c r="AM1132" i="3"/>
  <c r="AM1131" i="3"/>
  <c r="AM1130" i="3"/>
  <c r="AM1129" i="3"/>
  <c r="AM1128" i="3"/>
  <c r="AM1127" i="3"/>
  <c r="AM1126" i="3"/>
  <c r="AM1125" i="3"/>
  <c r="AM1124" i="3"/>
  <c r="AM1123" i="3"/>
  <c r="AM1122" i="3"/>
  <c r="AM1121" i="3"/>
  <c r="AM1120" i="3"/>
  <c r="AM1119" i="3"/>
  <c r="AM1118" i="3"/>
  <c r="AM1117" i="3"/>
  <c r="AM1116" i="3"/>
  <c r="AM1115" i="3"/>
  <c r="AM1114" i="3"/>
  <c r="AM1113" i="3"/>
  <c r="AM1112" i="3"/>
  <c r="AM1111" i="3"/>
  <c r="AM1110" i="3"/>
  <c r="AM1109" i="3"/>
  <c r="AM1108" i="3"/>
  <c r="AM1107" i="3"/>
  <c r="AM1106" i="3"/>
  <c r="AM1105" i="3"/>
  <c r="AM1104" i="3"/>
  <c r="AM1103" i="3"/>
  <c r="AM1102" i="3"/>
  <c r="AM1101" i="3"/>
  <c r="AM1100" i="3"/>
  <c r="AM1099" i="3"/>
  <c r="AM1098" i="3"/>
  <c r="AM1097" i="3"/>
  <c r="AM1096" i="3"/>
  <c r="AM1095" i="3"/>
  <c r="AM1094" i="3"/>
  <c r="AM1093" i="3"/>
  <c r="AM1092" i="3"/>
  <c r="AM1091" i="3"/>
  <c r="AM1090" i="3"/>
  <c r="AM1089" i="3"/>
  <c r="AM1088" i="3"/>
  <c r="AM1087" i="3"/>
  <c r="AM1086" i="3"/>
  <c r="AM1085" i="3"/>
  <c r="AM1084" i="3"/>
  <c r="AM1083" i="3"/>
  <c r="AM1082" i="3"/>
  <c r="AM1081" i="3"/>
  <c r="AM1080" i="3"/>
  <c r="AM1079" i="3"/>
  <c r="AM1078" i="3"/>
  <c r="AM1077" i="3"/>
  <c r="AM1076" i="3"/>
  <c r="AM1075" i="3"/>
  <c r="AM1074" i="3"/>
  <c r="AM1073" i="3"/>
  <c r="AM1072" i="3"/>
  <c r="AM1071" i="3"/>
  <c r="AM1070" i="3"/>
  <c r="AM1069" i="3"/>
  <c r="AM1068" i="3"/>
  <c r="AM1067" i="3"/>
  <c r="AM1066" i="3"/>
  <c r="AM1065" i="3"/>
  <c r="AM1064" i="3"/>
  <c r="AM1063" i="3"/>
  <c r="AM1062" i="3"/>
  <c r="AM1061" i="3"/>
  <c r="AM1060" i="3"/>
  <c r="AM1059" i="3"/>
  <c r="AM1058" i="3"/>
  <c r="AM1057" i="3"/>
  <c r="AM1056" i="3"/>
  <c r="AM1055" i="3"/>
  <c r="AM1054" i="3"/>
  <c r="AM1053" i="3"/>
  <c r="AM1052" i="3"/>
  <c r="AM1051" i="3"/>
  <c r="AM1050" i="3"/>
  <c r="AM1049" i="3"/>
  <c r="AM1048" i="3"/>
  <c r="AM1047" i="3"/>
  <c r="AM1046" i="3"/>
  <c r="AM1045" i="3"/>
  <c r="AM1044" i="3"/>
  <c r="AM1043" i="3"/>
  <c r="AM1042" i="3"/>
  <c r="AM1041" i="3"/>
  <c r="AM1040" i="3"/>
  <c r="AM1039" i="3"/>
  <c r="AM1038" i="3"/>
  <c r="AM1037" i="3"/>
  <c r="AM1036" i="3"/>
  <c r="AM1035" i="3"/>
  <c r="AM1034" i="3"/>
  <c r="AM1033" i="3"/>
  <c r="AM1032" i="3"/>
  <c r="AM1031" i="3"/>
  <c r="AM1030" i="3"/>
  <c r="AM1029" i="3"/>
  <c r="AM1028" i="3"/>
  <c r="AM1027" i="3"/>
  <c r="AM1026" i="3"/>
  <c r="AM1025" i="3"/>
  <c r="AM1024" i="3"/>
  <c r="AM1023" i="3"/>
  <c r="AM1022" i="3"/>
  <c r="AM1021" i="3"/>
  <c r="AM1020" i="3"/>
  <c r="AM1019" i="3"/>
  <c r="AM1018" i="3"/>
  <c r="AM1017" i="3"/>
  <c r="AM1016" i="3"/>
  <c r="AM1015" i="3"/>
  <c r="AM1014" i="3"/>
  <c r="AM1013" i="3"/>
  <c r="AM1012" i="3"/>
  <c r="AM1011" i="3"/>
  <c r="AM1010" i="3"/>
  <c r="AM1009" i="3"/>
  <c r="AM1008" i="3"/>
  <c r="AM1007" i="3"/>
  <c r="AM1006" i="3"/>
  <c r="AM1005" i="3"/>
  <c r="AM1004" i="3"/>
  <c r="AM1003" i="3"/>
  <c r="AM1002" i="3"/>
  <c r="AM1001" i="3"/>
  <c r="AM1000" i="3"/>
  <c r="AM999" i="3"/>
  <c r="AM998" i="3"/>
  <c r="AM997" i="3"/>
  <c r="AM996" i="3"/>
  <c r="AM995" i="3"/>
  <c r="AM994" i="3"/>
  <c r="AM993" i="3"/>
  <c r="AM992" i="3"/>
  <c r="AM991" i="3"/>
  <c r="AM990" i="3"/>
  <c r="AM989" i="3"/>
  <c r="AM988" i="3"/>
  <c r="AM987" i="3"/>
  <c r="AM986" i="3"/>
  <c r="AM985" i="3"/>
  <c r="AM984" i="3"/>
  <c r="AM983" i="3"/>
  <c r="AM982" i="3"/>
  <c r="AM981" i="3"/>
  <c r="AM980" i="3"/>
  <c r="AM979" i="3"/>
  <c r="AM978" i="3"/>
  <c r="AM977" i="3"/>
  <c r="AM976" i="3"/>
  <c r="AM975" i="3"/>
  <c r="AM974" i="3"/>
  <c r="AM973" i="3"/>
  <c r="AM972" i="3"/>
  <c r="AM971" i="3"/>
  <c r="AM970" i="3"/>
  <c r="AM969" i="3"/>
  <c r="AM968" i="3"/>
  <c r="AM967" i="3"/>
  <c r="AM966" i="3"/>
  <c r="AM965" i="3"/>
  <c r="AM964" i="3"/>
  <c r="AM963" i="3"/>
  <c r="AM962" i="3"/>
  <c r="AM961" i="3"/>
  <c r="AM960" i="3"/>
  <c r="AM959" i="3"/>
  <c r="AM958" i="3"/>
  <c r="AM957" i="3"/>
  <c r="AM956" i="3"/>
  <c r="AM955" i="3"/>
  <c r="AM954" i="3"/>
  <c r="AM953" i="3"/>
  <c r="AM952" i="3"/>
  <c r="AM951" i="3"/>
  <c r="AM950" i="3"/>
  <c r="AM949" i="3"/>
  <c r="AM948" i="3"/>
  <c r="AM947" i="3"/>
  <c r="AM946" i="3"/>
  <c r="AM945" i="3"/>
  <c r="AM944" i="3"/>
  <c r="AM943" i="3"/>
  <c r="AM942" i="3"/>
  <c r="AM941" i="3"/>
  <c r="AM940" i="3"/>
  <c r="AM939" i="3"/>
  <c r="AM938" i="3"/>
  <c r="AM937" i="3"/>
  <c r="AM936" i="3"/>
  <c r="AM935" i="3"/>
  <c r="A935" i="3"/>
  <c r="A937" i="3" s="1"/>
  <c r="A939" i="3" s="1"/>
  <c r="A941" i="3" s="1"/>
  <c r="A943" i="3" s="1"/>
  <c r="A945" i="3" s="1"/>
  <c r="A947" i="3" s="1"/>
  <c r="A949" i="3" s="1"/>
  <c r="A951" i="3" s="1"/>
  <c r="A953" i="3" s="1"/>
  <c r="A955" i="3" s="1"/>
  <c r="A957" i="3" s="1"/>
  <c r="A959" i="3" s="1"/>
  <c r="A961" i="3" s="1"/>
  <c r="A963" i="3" s="1"/>
  <c r="A965" i="3" s="1"/>
  <c r="A967" i="3" s="1"/>
  <c r="A969" i="3" s="1"/>
  <c r="A971" i="3" s="1"/>
  <c r="A973" i="3" s="1"/>
  <c r="A975" i="3" s="1"/>
  <c r="A977" i="3" s="1"/>
  <c r="A979" i="3" s="1"/>
  <c r="A981" i="3" s="1"/>
  <c r="A983" i="3" s="1"/>
  <c r="A985" i="3" s="1"/>
  <c r="A987" i="3" s="1"/>
  <c r="A989" i="3" s="1"/>
  <c r="A991" i="3" s="1"/>
  <c r="A993" i="3" s="1"/>
  <c r="A995" i="3" s="1"/>
  <c r="A997" i="3" s="1"/>
  <c r="A999" i="3" s="1"/>
  <c r="A1001" i="3" s="1"/>
  <c r="A1003" i="3" s="1"/>
  <c r="A1005" i="3" s="1"/>
  <c r="A1007" i="3" s="1"/>
  <c r="A1009" i="3" s="1"/>
  <c r="A1011" i="3" s="1"/>
  <c r="A1013" i="3" s="1"/>
  <c r="A1015" i="3" s="1"/>
  <c r="A1017" i="3" s="1"/>
  <c r="A1019" i="3" s="1"/>
  <c r="A1021" i="3" s="1"/>
  <c r="A1023" i="3" s="1"/>
  <c r="A1025" i="3" s="1"/>
  <c r="A1027" i="3" s="1"/>
  <c r="A1029" i="3" s="1"/>
  <c r="A1031" i="3" s="1"/>
  <c r="A1033" i="3" s="1"/>
  <c r="A1035" i="3" s="1"/>
  <c r="A1037" i="3" s="1"/>
  <c r="A1039" i="3" s="1"/>
  <c r="A1041" i="3" s="1"/>
  <c r="A1043" i="3" s="1"/>
  <c r="A1045" i="3" s="1"/>
  <c r="A1047" i="3" s="1"/>
  <c r="A1049" i="3" s="1"/>
  <c r="A1051" i="3" s="1"/>
  <c r="A1053" i="3" s="1"/>
  <c r="A1055" i="3" s="1"/>
  <c r="A1057" i="3" s="1"/>
  <c r="A1059" i="3" s="1"/>
  <c r="A1061" i="3" s="1"/>
  <c r="A1063" i="3" s="1"/>
  <c r="A1065" i="3" s="1"/>
  <c r="A1067" i="3" s="1"/>
  <c r="A1069" i="3" s="1"/>
  <c r="A1071" i="3" s="1"/>
  <c r="A1073" i="3" s="1"/>
  <c r="A1075" i="3" s="1"/>
  <c r="A1077" i="3" s="1"/>
  <c r="A1079" i="3" s="1"/>
  <c r="A1081" i="3" s="1"/>
  <c r="A1083" i="3" s="1"/>
  <c r="A1085" i="3" s="1"/>
  <c r="A1087" i="3" s="1"/>
  <c r="A1089" i="3" s="1"/>
  <c r="A1091" i="3" s="1"/>
  <c r="A1093" i="3" s="1"/>
  <c r="A1095" i="3" s="1"/>
  <c r="A1097" i="3" s="1"/>
  <c r="A1099" i="3" s="1"/>
  <c r="A1101" i="3" s="1"/>
  <c r="A1103" i="3" s="1"/>
  <c r="A1105" i="3" s="1"/>
  <c r="A1107" i="3" s="1"/>
  <c r="A1109" i="3" s="1"/>
  <c r="A1111" i="3" s="1"/>
  <c r="A1113" i="3" s="1"/>
  <c r="A1115" i="3" s="1"/>
  <c r="A1117" i="3" s="1"/>
  <c r="A1119" i="3" s="1"/>
  <c r="A1121" i="3" s="1"/>
  <c r="A1123" i="3" s="1"/>
  <c r="A1125" i="3" s="1"/>
  <c r="A1127" i="3" s="1"/>
  <c r="A1129" i="3" s="1"/>
  <c r="A1131" i="3" s="1"/>
  <c r="A1133" i="3" s="1"/>
  <c r="A1135" i="3" s="1"/>
  <c r="A1137" i="3" s="1"/>
  <c r="A1139" i="3" s="1"/>
  <c r="A1141" i="3" s="1"/>
  <c r="A1143" i="3" s="1"/>
  <c r="A1145" i="3" s="1"/>
  <c r="A1147" i="3" s="1"/>
  <c r="A1149" i="3" s="1"/>
  <c r="A1151" i="3" s="1"/>
  <c r="A1153" i="3" s="1"/>
  <c r="A1155" i="3" s="1"/>
  <c r="A1157" i="3" s="1"/>
  <c r="A1159" i="3" s="1"/>
  <c r="A1161" i="3" s="1"/>
  <c r="A1163" i="3" s="1"/>
  <c r="A1165" i="3" s="1"/>
  <c r="A1167" i="3" s="1"/>
  <c r="A1169" i="3" s="1"/>
  <c r="A1171" i="3" s="1"/>
  <c r="A1173" i="3" s="1"/>
  <c r="A1175" i="3" s="1"/>
  <c r="A1177" i="3" s="1"/>
  <c r="A1179" i="3" s="1"/>
  <c r="A1181" i="3" s="1"/>
  <c r="A1183" i="3" s="1"/>
  <c r="A1185" i="3" s="1"/>
  <c r="A1187" i="3" s="1"/>
  <c r="AM934" i="3"/>
  <c r="AM933" i="3"/>
  <c r="AC786" i="2"/>
  <c r="Y786" i="2"/>
  <c r="AU786" i="2" s="1"/>
  <c r="W786" i="2"/>
  <c r="AS785" i="2"/>
  <c r="AQ785" i="2"/>
  <c r="AO785" i="2"/>
  <c r="AE785" i="2"/>
  <c r="Y785" i="2"/>
  <c r="AU784" i="2"/>
  <c r="AU783" i="2"/>
  <c r="Y782" i="2"/>
  <c r="W782" i="2"/>
  <c r="AU782" i="2" s="1"/>
  <c r="AU781" i="2"/>
  <c r="AU780" i="2"/>
  <c r="AU779" i="2"/>
  <c r="AU778" i="2"/>
  <c r="W777" i="2"/>
  <c r="AU777" i="2" s="1"/>
  <c r="AC776" i="2"/>
  <c r="Y776" i="2"/>
  <c r="W776" i="2"/>
  <c r="AC775" i="2"/>
  <c r="Y775" i="2"/>
  <c r="W775" i="2"/>
  <c r="AU774" i="2"/>
  <c r="Y773" i="2"/>
  <c r="W773" i="2"/>
  <c r="AU773" i="2" s="1"/>
  <c r="AU772" i="2"/>
  <c r="AC771" i="2"/>
  <c r="Y771" i="2"/>
  <c r="W771" i="2"/>
  <c r="AC770" i="2"/>
  <c r="AA770" i="2"/>
  <c r="Y770" i="2"/>
  <c r="W770" i="2"/>
  <c r="AU769" i="2"/>
  <c r="AA768" i="2"/>
  <c r="Y768" i="2"/>
  <c r="W768" i="2"/>
  <c r="AA767" i="2"/>
  <c r="Y767" i="2"/>
  <c r="AU767" i="2" s="1"/>
  <c r="W767" i="2"/>
  <c r="AC766" i="2"/>
  <c r="AA766" i="2"/>
  <c r="Y766" i="2"/>
  <c r="W766" i="2"/>
  <c r="AA765" i="2"/>
  <c r="Y765" i="2"/>
  <c r="W765" i="2"/>
  <c r="AU765" i="2" s="1"/>
  <c r="AU764" i="2"/>
  <c r="AU763" i="2"/>
  <c r="AU762" i="2"/>
  <c r="AC761" i="2"/>
  <c r="AA761" i="2"/>
  <c r="Y761" i="2"/>
  <c r="W761" i="2"/>
  <c r="AU760" i="2"/>
  <c r="AU759" i="2"/>
  <c r="AU758" i="2"/>
  <c r="AA757" i="2"/>
  <c r="Y757" i="2"/>
  <c r="AU757" i="2" s="1"/>
  <c r="W757" i="2"/>
  <c r="AU756" i="2"/>
  <c r="AC755" i="2"/>
  <c r="AA755" i="2"/>
  <c r="Y755" i="2"/>
  <c r="W755" i="2"/>
  <c r="W754" i="2"/>
  <c r="AU754" i="2" s="1"/>
  <c r="Y753" i="2"/>
  <c r="W753" i="2"/>
  <c r="AA752" i="2"/>
  <c r="Y752" i="2"/>
  <c r="W752" i="2"/>
  <c r="AU751" i="2"/>
  <c r="AU750" i="2"/>
  <c r="AU749" i="2"/>
  <c r="AU748" i="2"/>
  <c r="W747" i="2"/>
  <c r="AU747" i="2" s="1"/>
  <c r="AA746" i="2"/>
  <c r="Y746" i="2"/>
  <c r="W746" i="2"/>
  <c r="AU746" i="2" s="1"/>
  <c r="AU745" i="2"/>
  <c r="AU744" i="2"/>
  <c r="AA743" i="2"/>
  <c r="Y743" i="2"/>
  <c r="AU743" i="2" s="1"/>
  <c r="AC742" i="2"/>
  <c r="AA742" i="2"/>
  <c r="AU742" i="2" s="1"/>
  <c r="Y742" i="2"/>
  <c r="AU741" i="2"/>
  <c r="AU740" i="2"/>
  <c r="AA739" i="2"/>
  <c r="Y739" i="2"/>
  <c r="W739" i="2"/>
  <c r="AU739" i="2" s="1"/>
  <c r="AC738" i="2"/>
  <c r="AA738" i="2"/>
  <c r="Y738" i="2"/>
  <c r="W738" i="2"/>
  <c r="AU738" i="2" s="1"/>
  <c r="AU737" i="2"/>
  <c r="AA736" i="2"/>
  <c r="Y736" i="2"/>
  <c r="W736" i="2"/>
  <c r="AU736" i="2" s="1"/>
  <c r="AC735" i="2"/>
  <c r="AA735" i="2"/>
  <c r="Y735" i="2"/>
  <c r="AC734" i="2"/>
  <c r="AA734" i="2"/>
  <c r="Y734" i="2"/>
  <c r="W734" i="2"/>
  <c r="AA733" i="2"/>
  <c r="Y733" i="2"/>
  <c r="W733" i="2"/>
  <c r="AU732" i="2"/>
  <c r="AU731" i="2"/>
  <c r="AU730" i="2"/>
  <c r="AA729" i="2"/>
  <c r="Y729" i="2"/>
  <c r="W729" i="2"/>
  <c r="AA728" i="2"/>
  <c r="Y728" i="2"/>
  <c r="W728" i="2"/>
  <c r="AA727" i="2"/>
  <c r="Y727" i="2"/>
  <c r="W727" i="2"/>
  <c r="AU726" i="2"/>
  <c r="AU725" i="2"/>
  <c r="AU724" i="2"/>
  <c r="AA723" i="2"/>
  <c r="Y723" i="2"/>
  <c r="W723" i="2"/>
  <c r="AU722" i="2"/>
  <c r="AA721" i="2"/>
  <c r="Y721" i="2"/>
  <c r="W721" i="2"/>
  <c r="AU721" i="2" s="1"/>
  <c r="AA720" i="2"/>
  <c r="Y720" i="2"/>
  <c r="W720" i="2"/>
  <c r="AU719" i="2"/>
  <c r="AA718" i="2"/>
  <c r="Y718" i="2"/>
  <c r="W718" i="2"/>
  <c r="AA717" i="2"/>
  <c r="Y717" i="2"/>
  <c r="W717" i="2"/>
  <c r="Y716" i="2"/>
  <c r="W716" i="2"/>
  <c r="AU716" i="2" s="1"/>
  <c r="AE715" i="2"/>
  <c r="Y715" i="2"/>
  <c r="W715" i="2"/>
  <c r="AU714" i="2"/>
  <c r="AE713" i="2"/>
  <c r="AA713" i="2"/>
  <c r="Y713" i="2"/>
  <c r="W713" i="2"/>
  <c r="AU713" i="2" s="1"/>
  <c r="AU712" i="2"/>
  <c r="AE711" i="2"/>
  <c r="AC711" i="2"/>
  <c r="AA711" i="2"/>
  <c r="Y711" i="2"/>
  <c r="W711" i="2"/>
  <c r="AU710" i="2"/>
  <c r="AU709" i="2"/>
  <c r="AA708" i="2"/>
  <c r="Y708" i="2"/>
  <c r="W708" i="2"/>
  <c r="AU707" i="2"/>
  <c r="AE706" i="2"/>
  <c r="AA706" i="2"/>
  <c r="Y706" i="2"/>
  <c r="W706" i="2"/>
  <c r="AU706" i="2" s="1"/>
  <c r="AU705" i="2"/>
  <c r="AE704" i="2"/>
  <c r="AC704" i="2"/>
  <c r="AA704" i="2"/>
  <c r="Y704" i="2"/>
  <c r="W704" i="2"/>
  <c r="AU703" i="2"/>
  <c r="AA702" i="2"/>
  <c r="Y702" i="2"/>
  <c r="W702" i="2"/>
  <c r="AA701" i="2"/>
  <c r="Y701" i="2"/>
  <c r="W701" i="2"/>
  <c r="AU700" i="2"/>
  <c r="AU699" i="2"/>
  <c r="AU698" i="2"/>
  <c r="AU697" i="2"/>
  <c r="AC696" i="2"/>
  <c r="AA696" i="2"/>
  <c r="Y696" i="2"/>
  <c r="W696" i="2"/>
  <c r="AC695" i="2"/>
  <c r="AA695" i="2"/>
  <c r="Y695" i="2"/>
  <c r="W695" i="2"/>
  <c r="AC694" i="2"/>
  <c r="AA694" i="2"/>
  <c r="Y694" i="2"/>
  <c r="W694" i="2"/>
  <c r="AC693" i="2"/>
  <c r="AA693" i="2"/>
  <c r="Y693" i="2"/>
  <c r="W693" i="2"/>
  <c r="AU692" i="2"/>
  <c r="AU691" i="2"/>
  <c r="AU690" i="2"/>
  <c r="AU689" i="2"/>
  <c r="AC688" i="2"/>
  <c r="AA688" i="2"/>
  <c r="Y688" i="2"/>
  <c r="W688" i="2"/>
  <c r="AC687" i="2"/>
  <c r="AA687" i="2"/>
  <c r="Y687" i="2"/>
  <c r="W687" i="2"/>
  <c r="AU686" i="2"/>
  <c r="AU685" i="2"/>
  <c r="AU684" i="2"/>
  <c r="AE683" i="2"/>
  <c r="AC683" i="2"/>
  <c r="AA683" i="2"/>
  <c r="Y683" i="2"/>
  <c r="AU683" i="2" s="1"/>
  <c r="W683" i="2"/>
  <c r="AU682" i="2"/>
  <c r="AC681" i="2"/>
  <c r="AA681" i="2"/>
  <c r="Y681" i="2"/>
  <c r="W681" i="2"/>
  <c r="AU680" i="2"/>
  <c r="AU679" i="2"/>
  <c r="AC678" i="2"/>
  <c r="AA678" i="2"/>
  <c r="Y678" i="2"/>
  <c r="W678" i="2"/>
  <c r="AU678" i="2" s="1"/>
  <c r="AU677" i="2"/>
  <c r="AC676" i="2"/>
  <c r="AA676" i="2"/>
  <c r="Y676" i="2"/>
  <c r="W676" i="2"/>
  <c r="AC675" i="2"/>
  <c r="AA675" i="2"/>
  <c r="Y675" i="2"/>
  <c r="W675" i="2"/>
  <c r="AU674" i="2"/>
  <c r="AU673" i="2"/>
  <c r="AU672" i="2"/>
  <c r="AU671" i="2"/>
  <c r="AU670" i="2"/>
  <c r="AU669" i="2"/>
  <c r="AU668" i="2"/>
  <c r="AU667" i="2"/>
  <c r="AU666" i="2"/>
  <c r="AU665" i="2"/>
  <c r="AU664" i="2"/>
  <c r="AU663" i="2"/>
  <c r="AU662" i="2"/>
  <c r="AU661" i="2"/>
  <c r="AU660" i="2"/>
  <c r="AU659" i="2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M559" i="3"/>
  <c r="AM558" i="3"/>
  <c r="AM555" i="3"/>
  <c r="AM553" i="3"/>
  <c r="AM932" i="3"/>
  <c r="AM931" i="3"/>
  <c r="AM930" i="3"/>
  <c r="AM929" i="3"/>
  <c r="AM928" i="3"/>
  <c r="AM927" i="3"/>
  <c r="AM926" i="3"/>
  <c r="AM925" i="3"/>
  <c r="AM924" i="3"/>
  <c r="AM923" i="3"/>
  <c r="AM922" i="3"/>
  <c r="AM921" i="3"/>
  <c r="AM920" i="3"/>
  <c r="AM919" i="3"/>
  <c r="AM918" i="3"/>
  <c r="AM917" i="3"/>
  <c r="AM916" i="3"/>
  <c r="AM915" i="3"/>
  <c r="AM914" i="3"/>
  <c r="AM913" i="3"/>
  <c r="AM912" i="3"/>
  <c r="AM911" i="3"/>
  <c r="AM910" i="3"/>
  <c r="AM909" i="3"/>
  <c r="AM908" i="3"/>
  <c r="AM907" i="3"/>
  <c r="AM906" i="3"/>
  <c r="AM905" i="3"/>
  <c r="AM904" i="3"/>
  <c r="AM903" i="3"/>
  <c r="AM902" i="3"/>
  <c r="AM901" i="3"/>
  <c r="AM900" i="3"/>
  <c r="AM899" i="3"/>
  <c r="AM898" i="3"/>
  <c r="AM897" i="3"/>
  <c r="AM896" i="3"/>
  <c r="AM895" i="3"/>
  <c r="AM894" i="3"/>
  <c r="AM893" i="3"/>
  <c r="AM892" i="3"/>
  <c r="AM891" i="3"/>
  <c r="AM890" i="3"/>
  <c r="AM889" i="3"/>
  <c r="AM888" i="3"/>
  <c r="AM887" i="3"/>
  <c r="AM886" i="3"/>
  <c r="AM885" i="3"/>
  <c r="AM884" i="3"/>
  <c r="AM883" i="3"/>
  <c r="AM882" i="3"/>
  <c r="AM881" i="3"/>
  <c r="AM880" i="3"/>
  <c r="AM879" i="3"/>
  <c r="AM878" i="3"/>
  <c r="AM877" i="3"/>
  <c r="AM876" i="3"/>
  <c r="AM875" i="3"/>
  <c r="AM874" i="3"/>
  <c r="AM873" i="3"/>
  <c r="AM872" i="3"/>
  <c r="AM871" i="3"/>
  <c r="AM870" i="3"/>
  <c r="AM869" i="3"/>
  <c r="AM868" i="3"/>
  <c r="AM867" i="3"/>
  <c r="AM866" i="3"/>
  <c r="AM865" i="3"/>
  <c r="AM864" i="3"/>
  <c r="AM863" i="3"/>
  <c r="AM862" i="3"/>
  <c r="AM861" i="3"/>
  <c r="AM860" i="3"/>
  <c r="AM859" i="3"/>
  <c r="AM858" i="3"/>
  <c r="AM857" i="3"/>
  <c r="AM856" i="3"/>
  <c r="AM855" i="3"/>
  <c r="AM854" i="3"/>
  <c r="AM853" i="3"/>
  <c r="AM852" i="3"/>
  <c r="AM851" i="3"/>
  <c r="AM850" i="3"/>
  <c r="AM849" i="3"/>
  <c r="AM848" i="3"/>
  <c r="AM847" i="3"/>
  <c r="AM846" i="3"/>
  <c r="AM845" i="3"/>
  <c r="AM844" i="3"/>
  <c r="AM843" i="3"/>
  <c r="AM842" i="3"/>
  <c r="AM841" i="3"/>
  <c r="AM840" i="3"/>
  <c r="AM839" i="3"/>
  <c r="AM838" i="3"/>
  <c r="AM837" i="3"/>
  <c r="AM836" i="3"/>
  <c r="AM835" i="3"/>
  <c r="AM834" i="3"/>
  <c r="AM833" i="3"/>
  <c r="AM832" i="3"/>
  <c r="AM831" i="3"/>
  <c r="AM830" i="3"/>
  <c r="AM829" i="3"/>
  <c r="AM828" i="3"/>
  <c r="AM827" i="3"/>
  <c r="AM826" i="3"/>
  <c r="AM825" i="3"/>
  <c r="AM824" i="3"/>
  <c r="AM823" i="3"/>
  <c r="AM822" i="3"/>
  <c r="AM821" i="3"/>
  <c r="AM820" i="3"/>
  <c r="AM819" i="3"/>
  <c r="AM818" i="3"/>
  <c r="AM817" i="3"/>
  <c r="AM816" i="3"/>
  <c r="AM815" i="3"/>
  <c r="AM814" i="3"/>
  <c r="AM813" i="3"/>
  <c r="AM812" i="3"/>
  <c r="AM811" i="3"/>
  <c r="AM810" i="3"/>
  <c r="AM809" i="3"/>
  <c r="AM808" i="3"/>
  <c r="AM807" i="3"/>
  <c r="AM806" i="3"/>
  <c r="AM805" i="3"/>
  <c r="AM804" i="3"/>
  <c r="AM803" i="3"/>
  <c r="AM802" i="3"/>
  <c r="AM801" i="3"/>
  <c r="AM800" i="3"/>
  <c r="AM799" i="3"/>
  <c r="AM798" i="3"/>
  <c r="AM797" i="3"/>
  <c r="AM796" i="3"/>
  <c r="AM795" i="3"/>
  <c r="AM794" i="3"/>
  <c r="AM793" i="3"/>
  <c r="AM792" i="3"/>
  <c r="AM791" i="3"/>
  <c r="AM790" i="3"/>
  <c r="AM789" i="3"/>
  <c r="AM788" i="3"/>
  <c r="AM787" i="3"/>
  <c r="AM786" i="3"/>
  <c r="AM785" i="3"/>
  <c r="AM784" i="3"/>
  <c r="AM783" i="3"/>
  <c r="AM782" i="3"/>
  <c r="AM781" i="3"/>
  <c r="AM780" i="3"/>
  <c r="AM779" i="3"/>
  <c r="AM778" i="3"/>
  <c r="AM777" i="3"/>
  <c r="AM776" i="3"/>
  <c r="AM775" i="3"/>
  <c r="AM774" i="3"/>
  <c r="AM773" i="3"/>
  <c r="AM772" i="3"/>
  <c r="AM771" i="3"/>
  <c r="AM770" i="3"/>
  <c r="AM769" i="3"/>
  <c r="AM768" i="3"/>
  <c r="AM767" i="3"/>
  <c r="AM766" i="3"/>
  <c r="AM765" i="3"/>
  <c r="AM764" i="3"/>
  <c r="AM763" i="3"/>
  <c r="AM762" i="3"/>
  <c r="AM761" i="3"/>
  <c r="AM760" i="3"/>
  <c r="AM759" i="3"/>
  <c r="AM758" i="3"/>
  <c r="AM757" i="3"/>
  <c r="AM756" i="3"/>
  <c r="AM755" i="3"/>
  <c r="AM754" i="3"/>
  <c r="AM753" i="3"/>
  <c r="AM752" i="3"/>
  <c r="AM751" i="3"/>
  <c r="AM750" i="3"/>
  <c r="AM749" i="3"/>
  <c r="AM748" i="3"/>
  <c r="AM747" i="3"/>
  <c r="AM746" i="3"/>
  <c r="AM745" i="3"/>
  <c r="AM744" i="3"/>
  <c r="AM743" i="3"/>
  <c r="AM742" i="3"/>
  <c r="AM741" i="3"/>
  <c r="AM740" i="3"/>
  <c r="AM739" i="3"/>
  <c r="AM738" i="3"/>
  <c r="AM737" i="3"/>
  <c r="AM736" i="3"/>
  <c r="AM735" i="3"/>
  <c r="AM734" i="3"/>
  <c r="AM733" i="3"/>
  <c r="AM732" i="3"/>
  <c r="AM731" i="3"/>
  <c r="AM730" i="3"/>
  <c r="AM729" i="3"/>
  <c r="AM728" i="3"/>
  <c r="AM727" i="3"/>
  <c r="AM726" i="3"/>
  <c r="AM725" i="3"/>
  <c r="AM724" i="3"/>
  <c r="AM723" i="3"/>
  <c r="AM722" i="3"/>
  <c r="AM721" i="3"/>
  <c r="AM720" i="3"/>
  <c r="AM719" i="3"/>
  <c r="AM718" i="3"/>
  <c r="AM717" i="3"/>
  <c r="AM716" i="3"/>
  <c r="AM715" i="3"/>
  <c r="AM714" i="3"/>
  <c r="AM713" i="3"/>
  <c r="AM712" i="3"/>
  <c r="AM711" i="3"/>
  <c r="AM710" i="3"/>
  <c r="AM709" i="3"/>
  <c r="AM708" i="3"/>
  <c r="AM707" i="3"/>
  <c r="AM706" i="3"/>
  <c r="AM705" i="3"/>
  <c r="AM704" i="3"/>
  <c r="AM703" i="3"/>
  <c r="AM702" i="3"/>
  <c r="AM701" i="3"/>
  <c r="AM700" i="3"/>
  <c r="AM699" i="3"/>
  <c r="AM698" i="3"/>
  <c r="AM697" i="3"/>
  <c r="AM696" i="3"/>
  <c r="AM695" i="3"/>
  <c r="AM694" i="3"/>
  <c r="AM693" i="3"/>
  <c r="AM692" i="3"/>
  <c r="AM691" i="3"/>
  <c r="AM690" i="3"/>
  <c r="AM689" i="3"/>
  <c r="AM688" i="3"/>
  <c r="AM687" i="3"/>
  <c r="AM686" i="3"/>
  <c r="AM685" i="3"/>
  <c r="AM684" i="3"/>
  <c r="AM683" i="3"/>
  <c r="AM682" i="3"/>
  <c r="AM681" i="3"/>
  <c r="AM680" i="3"/>
  <c r="AM679" i="3"/>
  <c r="AM678" i="3"/>
  <c r="AM677" i="3"/>
  <c r="AM676" i="3"/>
  <c r="AM675" i="3"/>
  <c r="AM674" i="3"/>
  <c r="AM673" i="3"/>
  <c r="AM672" i="3"/>
  <c r="AM671" i="3"/>
  <c r="AM670" i="3"/>
  <c r="AM669" i="3"/>
  <c r="AM668" i="3"/>
  <c r="AM667" i="3"/>
  <c r="AM666" i="3"/>
  <c r="AM665" i="3"/>
  <c r="AM664" i="3"/>
  <c r="AM663" i="3"/>
  <c r="AM662" i="3"/>
  <c r="AM661" i="3"/>
  <c r="AM660" i="3"/>
  <c r="AM659" i="3"/>
  <c r="AM658" i="3"/>
  <c r="AM657" i="3"/>
  <c r="AM656" i="3"/>
  <c r="AM655" i="3"/>
  <c r="AM654" i="3"/>
  <c r="AM653" i="3"/>
  <c r="AM652" i="3"/>
  <c r="AM651" i="3"/>
  <c r="AM650" i="3"/>
  <c r="AM649" i="3"/>
  <c r="AM648" i="3"/>
  <c r="AM647" i="3"/>
  <c r="AM646" i="3"/>
  <c r="AM645" i="3"/>
  <c r="AM644" i="3"/>
  <c r="AM643" i="3"/>
  <c r="AM642" i="3"/>
  <c r="AM641" i="3"/>
  <c r="AM640" i="3"/>
  <c r="AM639" i="3"/>
  <c r="AM638" i="3"/>
  <c r="AM637" i="3"/>
  <c r="AM636" i="3"/>
  <c r="AM635" i="3"/>
  <c r="AM634" i="3"/>
  <c r="AM633" i="3"/>
  <c r="AM632" i="3"/>
  <c r="AM631" i="3"/>
  <c r="AM630" i="3"/>
  <c r="AM629" i="3"/>
  <c r="AM628" i="3"/>
  <c r="AM627" i="3"/>
  <c r="AM626" i="3"/>
  <c r="AM625" i="3"/>
  <c r="AM624" i="3"/>
  <c r="AM623" i="3"/>
  <c r="AM622" i="3"/>
  <c r="AM621" i="3"/>
  <c r="AM620" i="3"/>
  <c r="AM619" i="3"/>
  <c r="AM618" i="3"/>
  <c r="AM617" i="3"/>
  <c r="AM616" i="3"/>
  <c r="AM615" i="3"/>
  <c r="AM614" i="3"/>
  <c r="AM613" i="3"/>
  <c r="AM612" i="3"/>
  <c r="AM611" i="3"/>
  <c r="AM610" i="3"/>
  <c r="AM609" i="3"/>
  <c r="AM608" i="3"/>
  <c r="AM607" i="3"/>
  <c r="AM606" i="3"/>
  <c r="AM605" i="3"/>
  <c r="AM604" i="3"/>
  <c r="AM603" i="3"/>
  <c r="AM602" i="3"/>
  <c r="AM601" i="3"/>
  <c r="AM600" i="3"/>
  <c r="AM599" i="3"/>
  <c r="AM598" i="3"/>
  <c r="AM597" i="3"/>
  <c r="AM596" i="3"/>
  <c r="AM595" i="3"/>
  <c r="AM594" i="3"/>
  <c r="AM593" i="3"/>
  <c r="AM592" i="3"/>
  <c r="AM591" i="3"/>
  <c r="AM590" i="3"/>
  <c r="AM589" i="3"/>
  <c r="AM588" i="3"/>
  <c r="AM587" i="3"/>
  <c r="AM586" i="3"/>
  <c r="AM585" i="3"/>
  <c r="AM584" i="3"/>
  <c r="AM583" i="3"/>
  <c r="AM582" i="3"/>
  <c r="AM581" i="3"/>
  <c r="AM580" i="3"/>
  <c r="AM579" i="3"/>
  <c r="AM578" i="3"/>
  <c r="AM577" i="3"/>
  <c r="AM576" i="3"/>
  <c r="AM575" i="3"/>
  <c r="AM574" i="3"/>
  <c r="AM573" i="3"/>
  <c r="AM572" i="3"/>
  <c r="AM571" i="3"/>
  <c r="AM570" i="3"/>
  <c r="AM569" i="3"/>
  <c r="AM568" i="3"/>
  <c r="AM567" i="3"/>
  <c r="AM566" i="3"/>
  <c r="AM565" i="3"/>
  <c r="AM564" i="3"/>
  <c r="AM563" i="3"/>
  <c r="AM562" i="3"/>
  <c r="AM561" i="3"/>
  <c r="AU658" i="2"/>
  <c r="AU657" i="2"/>
  <c r="AU656" i="2"/>
  <c r="AU655" i="2"/>
  <c r="AU654" i="2"/>
  <c r="AU653" i="2"/>
  <c r="AU652" i="2"/>
  <c r="AU651" i="2"/>
  <c r="AU650" i="2"/>
  <c r="AU649" i="2"/>
  <c r="AU648" i="2"/>
  <c r="AU647" i="2"/>
  <c r="AU646" i="2"/>
  <c r="AU645" i="2"/>
  <c r="AU644" i="2"/>
  <c r="AU643" i="2"/>
  <c r="AU642" i="2"/>
  <c r="AU641" i="2"/>
  <c r="AU640" i="2"/>
  <c r="AU639" i="2"/>
  <c r="AU638" i="2"/>
  <c r="AU637" i="2"/>
  <c r="AU636" i="2"/>
  <c r="AU635" i="2"/>
  <c r="AU634" i="2"/>
  <c r="AU633" i="2"/>
  <c r="AU632" i="2"/>
  <c r="AU631" i="2"/>
  <c r="AU630" i="2"/>
  <c r="AU629" i="2"/>
  <c r="AU628" i="2"/>
  <c r="AU627" i="2"/>
  <c r="AU626" i="2"/>
  <c r="AU625" i="2"/>
  <c r="AU624" i="2"/>
  <c r="AU623" i="2"/>
  <c r="AU622" i="2"/>
  <c r="AU621" i="2"/>
  <c r="AU620" i="2"/>
  <c r="AU619" i="2"/>
  <c r="AU618" i="2"/>
  <c r="AU617" i="2"/>
  <c r="AU616" i="2"/>
  <c r="AU615" i="2"/>
  <c r="AU614" i="2"/>
  <c r="AU613" i="2"/>
  <c r="AU612" i="2"/>
  <c r="AU611" i="2"/>
  <c r="AU610" i="2"/>
  <c r="AU609" i="2"/>
  <c r="AU608" i="2"/>
  <c r="AU607" i="2"/>
  <c r="AU606" i="2"/>
  <c r="AU605" i="2"/>
  <c r="AU604" i="2"/>
  <c r="AU603" i="2"/>
  <c r="AU602" i="2"/>
  <c r="AU601" i="2"/>
  <c r="AU600" i="2"/>
  <c r="AU599" i="2"/>
  <c r="AU598" i="2"/>
  <c r="AU597" i="2"/>
  <c r="AU596" i="2"/>
  <c r="AU595" i="2"/>
  <c r="AU594" i="2"/>
  <c r="AU593" i="2"/>
  <c r="AU592" i="2"/>
  <c r="AU591" i="2"/>
  <c r="AU590" i="2"/>
  <c r="AU589" i="2"/>
  <c r="AU588" i="2"/>
  <c r="AU587" i="2"/>
  <c r="AU586" i="2"/>
  <c r="AU585" i="2"/>
  <c r="AU584" i="2"/>
  <c r="AU583" i="2"/>
  <c r="AU582" i="2"/>
  <c r="AU581" i="2"/>
  <c r="AU580" i="2"/>
  <c r="AU579" i="2"/>
  <c r="AU578" i="2"/>
  <c r="AU577" i="2"/>
  <c r="AU576" i="2"/>
  <c r="AU575" i="2"/>
  <c r="AU574" i="2"/>
  <c r="AU573" i="2"/>
  <c r="AU572" i="2"/>
  <c r="AU571" i="2"/>
  <c r="AU570" i="2"/>
  <c r="AU569" i="2"/>
  <c r="AU568" i="2"/>
  <c r="AU567" i="2"/>
  <c r="AU566" i="2"/>
  <c r="AU565" i="2"/>
  <c r="AU564" i="2"/>
  <c r="AU563" i="2"/>
  <c r="AU562" i="2"/>
  <c r="AU561" i="2"/>
  <c r="AU560" i="2"/>
  <c r="AU559" i="2"/>
  <c r="V559" i="2"/>
  <c r="AU558" i="2"/>
  <c r="AU557" i="2"/>
  <c r="AU556" i="2"/>
  <c r="AU555" i="2"/>
  <c r="AU554" i="2"/>
  <c r="AU553" i="2"/>
  <c r="AU552" i="2"/>
  <c r="AU551" i="2"/>
  <c r="AU550" i="2"/>
  <c r="AU549" i="2"/>
  <c r="AU548" i="2"/>
  <c r="AU547" i="2"/>
  <c r="AU546" i="2"/>
  <c r="AU545" i="2"/>
  <c r="AU544" i="2"/>
  <c r="AU543" i="2"/>
  <c r="AU542" i="2"/>
  <c r="AU541" i="2"/>
  <c r="AU540" i="2"/>
  <c r="AU539" i="2"/>
  <c r="AU538" i="2"/>
  <c r="AU537" i="2"/>
  <c r="AU536" i="2"/>
  <c r="V536" i="2"/>
  <c r="AU535" i="2"/>
  <c r="AU534" i="2"/>
  <c r="AU533" i="2"/>
  <c r="AU532" i="2"/>
  <c r="AU531" i="2"/>
  <c r="AU530" i="2"/>
  <c r="AU529" i="2"/>
  <c r="AU528" i="2"/>
  <c r="AU527" i="2"/>
  <c r="AU526" i="2"/>
  <c r="AU525" i="2"/>
  <c r="AU524" i="2"/>
  <c r="AU523" i="2"/>
  <c r="AU522" i="2"/>
  <c r="AU521" i="2"/>
  <c r="AU520" i="2"/>
  <c r="AU519" i="2"/>
  <c r="AU518" i="2"/>
  <c r="AU517" i="2"/>
  <c r="AU516" i="2"/>
  <c r="AU515" i="2"/>
  <c r="AU514" i="2"/>
  <c r="AU513" i="2"/>
  <c r="AU512" i="2"/>
  <c r="AU511" i="2"/>
  <c r="AU510" i="2"/>
  <c r="AU509" i="2"/>
  <c r="AU508" i="2"/>
  <c r="AU507" i="2"/>
  <c r="AU506" i="2"/>
  <c r="AU505" i="2"/>
  <c r="AU504" i="2"/>
  <c r="AU503" i="2"/>
  <c r="AU502" i="2"/>
  <c r="AU501" i="2"/>
  <c r="AU500" i="2"/>
  <c r="AU499" i="2"/>
  <c r="AU498" i="2"/>
  <c r="AU497" i="2"/>
  <c r="AU496" i="2"/>
  <c r="AU495" i="2"/>
  <c r="AU494" i="2"/>
  <c r="AU493" i="2"/>
  <c r="AU492" i="2"/>
  <c r="AU491" i="2"/>
  <c r="AU490" i="2"/>
  <c r="AU489" i="2"/>
  <c r="AU488" i="2"/>
  <c r="AU487" i="2"/>
  <c r="AU486" i="2"/>
  <c r="AU485" i="2"/>
  <c r="AU484" i="2"/>
  <c r="AU483" i="2"/>
  <c r="AU482" i="2"/>
  <c r="AU481" i="2"/>
  <c r="AU480" i="2"/>
  <c r="AU479" i="2"/>
  <c r="AU478" i="2"/>
  <c r="AU477" i="2"/>
  <c r="AU476" i="2"/>
  <c r="AU475" i="2"/>
  <c r="AU474" i="2"/>
  <c r="AU473" i="2"/>
  <c r="AU472" i="2"/>
  <c r="AU471" i="2"/>
  <c r="AU470" i="2"/>
  <c r="AU469" i="2"/>
  <c r="AU468" i="2"/>
  <c r="AU467" i="2"/>
  <c r="AU466" i="2"/>
  <c r="AU465" i="2"/>
  <c r="AU464" i="2"/>
  <c r="AU463" i="2"/>
  <c r="AU462" i="2"/>
  <c r="AU461" i="2"/>
  <c r="AU460" i="2"/>
  <c r="AU459" i="2"/>
  <c r="AU458" i="2"/>
  <c r="AU457" i="2"/>
  <c r="AU456" i="2"/>
  <c r="AU455" i="2"/>
  <c r="AU454" i="2"/>
  <c r="AU453" i="2"/>
  <c r="AU452" i="2"/>
  <c r="AU451" i="2"/>
  <c r="AU450" i="2"/>
  <c r="AU449" i="2"/>
  <c r="AU448" i="2"/>
  <c r="AU447" i="2"/>
  <c r="V447" i="2"/>
  <c r="AU446" i="2"/>
  <c r="AU445" i="2"/>
  <c r="AU444" i="2"/>
  <c r="AU443" i="2"/>
  <c r="AU442" i="2"/>
  <c r="AU441" i="2"/>
  <c r="AU440" i="2"/>
  <c r="AU439" i="2"/>
  <c r="AU438" i="2"/>
  <c r="AU437" i="2"/>
  <c r="AU436" i="2"/>
  <c r="AU435" i="2"/>
  <c r="AU434" i="2"/>
  <c r="AU433" i="2"/>
  <c r="AU432" i="2"/>
  <c r="AU431" i="2"/>
  <c r="AU430" i="2"/>
  <c r="V430" i="2"/>
  <c r="AU429" i="2"/>
  <c r="AU428" i="2"/>
  <c r="AU427" i="2"/>
  <c r="AU426" i="2"/>
  <c r="AU425" i="2"/>
  <c r="AU424" i="2"/>
  <c r="AU423" i="2"/>
  <c r="AU422" i="2"/>
  <c r="AU421" i="2"/>
  <c r="AU420" i="2"/>
  <c r="AU419" i="2"/>
  <c r="AU418" i="2"/>
  <c r="AU417" i="2"/>
  <c r="AU416" i="2"/>
  <c r="AU415" i="2"/>
  <c r="AU414" i="2"/>
  <c r="AU413" i="2"/>
  <c r="AU412" i="2"/>
  <c r="AU411" i="2"/>
  <c r="AU410" i="2"/>
  <c r="AU409" i="2"/>
  <c r="V409" i="2"/>
  <c r="AU408" i="2"/>
  <c r="AU407" i="2"/>
  <c r="AU406" i="2"/>
  <c r="AU405" i="2"/>
  <c r="AU404" i="2"/>
  <c r="AU403" i="2"/>
  <c r="AU402" i="2"/>
  <c r="AU401" i="2"/>
  <c r="AU400" i="2"/>
  <c r="AU399" i="2"/>
  <c r="AU398" i="2"/>
  <c r="AU397" i="2"/>
  <c r="AU396" i="2"/>
  <c r="AU395" i="2"/>
  <c r="AU394" i="2"/>
  <c r="AU393" i="2"/>
  <c r="AU392" i="2"/>
  <c r="AU391" i="2"/>
  <c r="AU390" i="2"/>
  <c r="AU389" i="2"/>
  <c r="AU388" i="2"/>
  <c r="AU387" i="2"/>
  <c r="AU386" i="2"/>
  <c r="AU385" i="2"/>
  <c r="AU384" i="2"/>
  <c r="AU383" i="2"/>
  <c r="AU382" i="2"/>
  <c r="AU381" i="2"/>
  <c r="AU379" i="2"/>
  <c r="AU378" i="2"/>
  <c r="AU377" i="2"/>
  <c r="AU376" i="2"/>
  <c r="AU375" i="2"/>
  <c r="AU374" i="2"/>
  <c r="AU373" i="2"/>
  <c r="AU372" i="2"/>
  <c r="AU371" i="2"/>
  <c r="AU370" i="2"/>
  <c r="AU369" i="2"/>
  <c r="AU368" i="2"/>
  <c r="AU367" i="2"/>
  <c r="AU366" i="2"/>
  <c r="AU365" i="2"/>
  <c r="V365" i="2"/>
  <c r="AU364" i="2"/>
  <c r="AU363" i="2"/>
  <c r="AU362" i="2"/>
  <c r="AU361" i="2"/>
  <c r="AU360" i="2"/>
  <c r="AU359" i="2"/>
  <c r="AU358" i="2"/>
  <c r="AU357" i="2"/>
  <c r="V357" i="2"/>
  <c r="AU356" i="2"/>
  <c r="AU355" i="2"/>
  <c r="AU354" i="2"/>
  <c r="AU353" i="2"/>
  <c r="AU352" i="2"/>
  <c r="AU351" i="2"/>
  <c r="AU350" i="2"/>
  <c r="AU349" i="2"/>
  <c r="AU348" i="2"/>
  <c r="AU347" i="2"/>
  <c r="AU346" i="2"/>
  <c r="AU345" i="2"/>
  <c r="AU344" i="2"/>
  <c r="AU343" i="2"/>
  <c r="AU342" i="2"/>
  <c r="AU341" i="2"/>
  <c r="AU340" i="2"/>
  <c r="AU339" i="2"/>
  <c r="AU338" i="2"/>
  <c r="AU337" i="2"/>
  <c r="AU336" i="2"/>
  <c r="V336" i="2"/>
  <c r="AU335" i="2"/>
  <c r="AU334" i="2"/>
  <c r="AU333" i="2"/>
  <c r="AU332" i="2"/>
  <c r="V332" i="2"/>
  <c r="AU331" i="2"/>
  <c r="AU330" i="2"/>
  <c r="AU329" i="2"/>
  <c r="AU328" i="2"/>
  <c r="AU327" i="2"/>
  <c r="AU316" i="2"/>
  <c r="AU315" i="2"/>
  <c r="AU314" i="2"/>
  <c r="AU313" i="2"/>
  <c r="AU312" i="2"/>
  <c r="AU311" i="2"/>
  <c r="AU310" i="2"/>
  <c r="AU309" i="2"/>
  <c r="AU308" i="2"/>
  <c r="AU307" i="2"/>
  <c r="AU306" i="2"/>
  <c r="AU305" i="2"/>
  <c r="AU304" i="2"/>
  <c r="AU303" i="2"/>
  <c r="AU302" i="2"/>
  <c r="AU301" i="2"/>
  <c r="AU300" i="2"/>
  <c r="AU299" i="2"/>
  <c r="AU298" i="2"/>
  <c r="AU297" i="2"/>
  <c r="AU296" i="2"/>
  <c r="AU295" i="2"/>
  <c r="AU294" i="2"/>
  <c r="AU293" i="2"/>
  <c r="AU292" i="2"/>
  <c r="AU288" i="2"/>
  <c r="AU287" i="2"/>
  <c r="AU286" i="2"/>
  <c r="AU285" i="2"/>
  <c r="AU284" i="2"/>
  <c r="AU283" i="2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AM448" i="3"/>
  <c r="AM446" i="3"/>
  <c r="AM410" i="3"/>
  <c r="AM409" i="3"/>
  <c r="AM408" i="3"/>
  <c r="AM407" i="3"/>
  <c r="AM406" i="3"/>
  <c r="AM405" i="3"/>
  <c r="AM404" i="3"/>
  <c r="AM403" i="3"/>
  <c r="AM402" i="3"/>
  <c r="AM401" i="3"/>
  <c r="AM400" i="3"/>
  <c r="AM398" i="3"/>
  <c r="AM396" i="3"/>
  <c r="AM394" i="3"/>
  <c r="AM392" i="3"/>
  <c r="AM391" i="3"/>
  <c r="AM390" i="3"/>
  <c r="AM389" i="3"/>
  <c r="AM388" i="3"/>
  <c r="AM387" i="3"/>
  <c r="AM386" i="3"/>
  <c r="AM385" i="3"/>
  <c r="AM384" i="3"/>
  <c r="AM382" i="3"/>
  <c r="AM380" i="3"/>
  <c r="AM379" i="3"/>
  <c r="AM378" i="3"/>
  <c r="AM377" i="3"/>
  <c r="AM376" i="3"/>
  <c r="AM375" i="3"/>
  <c r="AM374" i="3"/>
  <c r="AM373" i="3"/>
  <c r="AM372" i="3"/>
  <c r="AM371" i="3"/>
  <c r="AM370" i="3"/>
  <c r="AM369" i="3"/>
  <c r="AM367" i="3"/>
  <c r="AM366" i="3"/>
  <c r="AM364" i="3"/>
  <c r="AM363" i="3"/>
  <c r="AM362" i="3"/>
  <c r="AM361" i="3"/>
  <c r="AM360" i="3"/>
  <c r="AM359" i="3"/>
  <c r="AM358" i="3"/>
  <c r="AM356" i="3"/>
  <c r="AM355" i="3"/>
  <c r="AM354" i="3"/>
  <c r="AM353" i="3"/>
  <c r="AM352" i="3"/>
  <c r="AM351" i="3"/>
  <c r="AM350" i="3"/>
  <c r="AM349" i="3"/>
  <c r="AM348" i="3"/>
  <c r="AM347" i="3"/>
  <c r="AM346" i="3"/>
  <c r="AM345" i="3"/>
  <c r="AM344" i="3"/>
  <c r="AM343" i="3"/>
  <c r="AM342" i="3"/>
  <c r="AM340" i="3"/>
  <c r="AM338" i="3"/>
  <c r="AM336" i="3"/>
  <c r="AM334" i="3"/>
  <c r="AM333" i="3"/>
  <c r="AM332" i="3"/>
  <c r="AM331" i="3"/>
  <c r="AM330" i="3"/>
  <c r="AM328" i="3"/>
  <c r="AM326" i="3"/>
  <c r="AM324" i="3"/>
  <c r="AM323" i="3"/>
  <c r="AM322" i="3"/>
  <c r="AM321" i="3"/>
  <c r="AM320" i="3"/>
  <c r="AM318" i="3"/>
  <c r="AM316" i="3"/>
  <c r="AM314" i="3"/>
  <c r="AM312" i="3"/>
  <c r="AM311" i="3"/>
  <c r="AM310" i="3"/>
  <c r="AM308" i="3"/>
  <c r="AM306" i="3"/>
  <c r="AM304" i="3"/>
  <c r="AM303" i="3"/>
  <c r="AM302" i="3"/>
  <c r="AM301" i="3"/>
  <c r="AM300" i="3"/>
  <c r="AM299" i="3"/>
  <c r="AM298" i="3"/>
  <c r="AM297" i="3"/>
  <c r="AM296" i="3"/>
  <c r="AM295" i="3"/>
  <c r="AM294" i="3"/>
  <c r="AM292" i="3"/>
  <c r="AM291" i="3"/>
  <c r="AM290" i="3"/>
  <c r="AM288" i="3"/>
  <c r="AM287" i="3"/>
  <c r="AM286" i="3"/>
  <c r="AM284" i="3"/>
  <c r="AM282" i="3"/>
  <c r="AM281" i="3"/>
  <c r="AM280" i="3"/>
  <c r="AM279" i="3"/>
  <c r="AM278" i="3"/>
  <c r="AM277" i="3"/>
  <c r="AM276" i="3"/>
  <c r="AM274" i="3"/>
  <c r="AM273" i="3"/>
  <c r="AM272" i="3"/>
  <c r="AM271" i="3"/>
  <c r="AM270" i="3"/>
  <c r="AM268" i="3"/>
  <c r="AM266" i="3"/>
  <c r="AM265" i="3"/>
  <c r="AM264" i="3"/>
  <c r="AM263" i="3"/>
  <c r="AM262" i="3"/>
  <c r="AM260" i="3"/>
  <c r="AM259" i="3"/>
  <c r="AM258" i="3"/>
  <c r="AM257" i="3"/>
  <c r="AM256" i="3"/>
  <c r="AM255" i="3"/>
  <c r="AM254" i="3"/>
  <c r="AM253" i="3"/>
  <c r="AM252" i="3"/>
  <c r="AM251" i="3"/>
  <c r="AM250" i="3"/>
  <c r="AM249" i="3"/>
  <c r="AM248" i="3"/>
  <c r="AM247" i="3"/>
  <c r="AM246" i="3"/>
  <c r="AM245" i="3"/>
  <c r="AM244" i="3"/>
  <c r="AM243" i="3"/>
  <c r="AM242" i="3"/>
  <c r="AM240" i="3"/>
  <c r="AM238" i="3"/>
  <c r="AM237" i="3"/>
  <c r="AM236" i="3"/>
  <c r="AM234" i="3"/>
  <c r="AM233" i="3"/>
  <c r="AM232" i="3"/>
  <c r="AM231" i="3"/>
  <c r="AM230" i="3"/>
  <c r="AM229" i="3"/>
  <c r="AM228" i="3"/>
  <c r="AM227" i="3"/>
  <c r="AM226" i="3"/>
  <c r="AM222" i="3"/>
  <c r="AM220" i="3"/>
  <c r="AM218" i="3"/>
  <c r="AM217" i="3"/>
  <c r="AM216" i="3"/>
  <c r="AM214" i="3"/>
  <c r="AM212" i="3"/>
  <c r="AM210" i="3"/>
  <c r="AM208" i="3"/>
  <c r="AM206" i="3"/>
  <c r="AM205" i="3"/>
  <c r="AM204" i="3"/>
  <c r="AM203" i="3"/>
  <c r="AM202" i="3"/>
  <c r="AM201" i="3"/>
  <c r="AM200" i="3"/>
  <c r="AM199" i="3"/>
  <c r="AM198" i="3"/>
  <c r="AM197" i="3"/>
  <c r="AM196" i="3"/>
  <c r="AM195" i="3"/>
  <c r="AM194" i="3"/>
  <c r="AM193" i="3"/>
  <c r="AM192" i="3"/>
  <c r="AM191" i="3"/>
  <c r="AM190" i="3"/>
  <c r="AM189" i="3"/>
  <c r="AM186" i="3"/>
  <c r="AM185" i="3"/>
  <c r="AM184" i="3"/>
  <c r="AM183" i="3"/>
  <c r="AM182" i="3"/>
  <c r="AM181" i="3"/>
  <c r="AM180" i="3"/>
  <c r="AM179" i="3"/>
  <c r="AM178" i="3"/>
  <c r="AM177" i="3"/>
  <c r="AM174" i="3"/>
  <c r="AM173" i="3"/>
  <c r="AM172" i="3"/>
  <c r="AM171" i="3"/>
  <c r="AM170" i="3"/>
  <c r="AM168" i="3"/>
  <c r="AM167" i="3"/>
  <c r="AM166" i="3"/>
  <c r="AM164" i="3"/>
  <c r="AM160" i="3"/>
  <c r="AM158" i="3"/>
  <c r="AM157" i="3"/>
  <c r="AM156" i="3"/>
  <c r="AM154" i="3"/>
  <c r="AM153" i="3"/>
  <c r="AM152" i="3"/>
  <c r="AM150" i="3"/>
  <c r="AM148" i="3"/>
  <c r="AM146" i="3"/>
  <c r="AM144" i="3"/>
  <c r="AM143" i="3"/>
  <c r="AM142" i="3"/>
  <c r="AM140" i="3"/>
  <c r="AM138" i="3"/>
  <c r="AM137" i="3"/>
  <c r="AM136" i="3"/>
  <c r="AM134" i="3"/>
  <c r="AM133" i="3"/>
  <c r="AM132" i="3"/>
  <c r="AM131" i="3"/>
  <c r="AM130" i="3"/>
  <c r="AM128" i="3"/>
  <c r="AM126" i="3"/>
  <c r="AM124" i="3"/>
  <c r="AM123" i="3"/>
  <c r="AM122" i="3"/>
  <c r="AM120" i="3"/>
  <c r="AM119" i="3"/>
  <c r="AM118" i="3"/>
  <c r="AM117" i="3"/>
  <c r="AM116" i="3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2" i="3"/>
  <c r="AM100" i="3"/>
  <c r="AM99" i="3"/>
  <c r="AM98" i="3"/>
  <c r="AM97" i="3"/>
  <c r="AM96" i="3"/>
  <c r="AM95" i="3"/>
  <c r="AM94" i="3"/>
  <c r="AM93" i="3"/>
  <c r="AM92" i="3"/>
  <c r="AM91" i="3"/>
  <c r="AM90" i="3"/>
  <c r="AM89" i="3"/>
  <c r="AU230" i="2"/>
  <c r="AU229" i="2"/>
  <c r="AY228" i="2"/>
  <c r="AX228" i="2"/>
  <c r="AW228" i="2"/>
  <c r="AU228" i="2"/>
  <c r="AY227" i="2"/>
  <c r="AX227" i="2"/>
  <c r="AW227" i="2"/>
  <c r="AU227" i="2"/>
  <c r="AY226" i="2"/>
  <c r="AX226" i="2"/>
  <c r="AW226" i="2"/>
  <c r="AU226" i="2"/>
  <c r="AY225" i="2"/>
  <c r="AX225" i="2"/>
  <c r="AW225" i="2"/>
  <c r="AU225" i="2"/>
  <c r="AY224" i="2"/>
  <c r="AX224" i="2"/>
  <c r="AW224" i="2"/>
  <c r="AU224" i="2"/>
  <c r="AY223" i="2"/>
  <c r="AX223" i="2"/>
  <c r="AW223" i="2"/>
  <c r="AU223" i="2"/>
  <c r="AY222" i="2"/>
  <c r="AX222" i="2"/>
  <c r="AW222" i="2"/>
  <c r="AU222" i="2"/>
  <c r="AY221" i="2"/>
  <c r="AX221" i="2"/>
  <c r="AW221" i="2"/>
  <c r="AU221" i="2"/>
  <c r="AY220" i="2"/>
  <c r="AX220" i="2"/>
  <c r="AW220" i="2"/>
  <c r="AU220" i="2"/>
  <c r="AY219" i="2"/>
  <c r="AX219" i="2"/>
  <c r="AW219" i="2"/>
  <c r="AU219" i="2"/>
  <c r="AY218" i="2"/>
  <c r="AX218" i="2"/>
  <c r="AW218" i="2"/>
  <c r="AU218" i="2"/>
  <c r="AY217" i="2"/>
  <c r="AX217" i="2"/>
  <c r="AW217" i="2"/>
  <c r="AU217" i="2"/>
  <c r="AY216" i="2"/>
  <c r="AX216" i="2"/>
  <c r="AW216" i="2"/>
  <c r="AU216" i="2"/>
  <c r="AU215" i="2"/>
  <c r="AU214" i="2"/>
  <c r="AU213" i="2"/>
  <c r="AY212" i="2"/>
  <c r="AX212" i="2"/>
  <c r="AW212" i="2"/>
  <c r="AU212" i="2"/>
  <c r="AX211" i="2"/>
  <c r="AW211" i="2"/>
  <c r="AV211" i="2"/>
  <c r="AG211" i="2"/>
  <c r="AE211" i="2"/>
  <c r="AC211" i="2"/>
  <c r="AA211" i="2"/>
  <c r="Y211" i="2"/>
  <c r="AX210" i="2"/>
  <c r="AW210" i="2"/>
  <c r="AU210" i="2"/>
  <c r="AU209" i="2"/>
  <c r="AU208" i="2"/>
  <c r="AU207" i="2"/>
  <c r="AU206" i="2"/>
  <c r="AU205" i="2"/>
  <c r="AU204" i="2"/>
  <c r="AU203" i="2"/>
  <c r="AU202" i="2"/>
  <c r="AU201" i="2"/>
  <c r="AU200" i="2"/>
  <c r="AU199" i="2"/>
  <c r="AU198" i="2"/>
  <c r="AU197" i="2"/>
  <c r="AU196" i="2"/>
  <c r="V196" i="2"/>
  <c r="AU195" i="2"/>
  <c r="AU194" i="2"/>
  <c r="AU193" i="2"/>
  <c r="AU192" i="2"/>
  <c r="AG191" i="2"/>
  <c r="AE191" i="2"/>
  <c r="AU190" i="2"/>
  <c r="AU189" i="2"/>
  <c r="AU188" i="2"/>
  <c r="AU187" i="2"/>
  <c r="AU186" i="2"/>
  <c r="AU185" i="2"/>
  <c r="AU184" i="2"/>
  <c r="AK183" i="2"/>
  <c r="AU183" i="2" s="1"/>
  <c r="V183" i="2"/>
  <c r="AU182" i="2"/>
  <c r="AU181" i="2"/>
  <c r="AX180" i="2"/>
  <c r="AW180" i="2"/>
  <c r="AU180" i="2"/>
  <c r="AY179" i="2"/>
  <c r="AX179" i="2"/>
  <c r="AW179" i="2"/>
  <c r="AU179" i="2"/>
  <c r="AY178" i="2"/>
  <c r="AX178" i="2"/>
  <c r="AW178" i="2"/>
  <c r="AU178" i="2"/>
  <c r="AY177" i="2"/>
  <c r="AX177" i="2"/>
  <c r="AW177" i="2"/>
  <c r="AU177" i="2"/>
  <c r="AY176" i="2"/>
  <c r="AX176" i="2"/>
  <c r="AW176" i="2"/>
  <c r="AU176" i="2"/>
  <c r="AY175" i="2"/>
  <c r="AX175" i="2"/>
  <c r="AW175" i="2"/>
  <c r="AU175" i="2"/>
  <c r="AY174" i="2"/>
  <c r="AX174" i="2"/>
  <c r="AW174" i="2"/>
  <c r="AU174" i="2"/>
  <c r="AY173" i="2"/>
  <c r="AX173" i="2"/>
  <c r="AW173" i="2"/>
  <c r="AU173" i="2"/>
  <c r="AY172" i="2"/>
  <c r="AX172" i="2"/>
  <c r="AW172" i="2"/>
  <c r="AU172" i="2"/>
  <c r="AU171" i="2"/>
  <c r="V171" i="2"/>
  <c r="AU170" i="2"/>
  <c r="V170" i="2"/>
  <c r="AU169" i="2"/>
  <c r="V169" i="2"/>
  <c r="AY168" i="2"/>
  <c r="AX168" i="2"/>
  <c r="AW168" i="2"/>
  <c r="AU168" i="2"/>
  <c r="AY167" i="2"/>
  <c r="AX167" i="2"/>
  <c r="AW167" i="2"/>
  <c r="AU167" i="2"/>
  <c r="AU166" i="2"/>
  <c r="V166" i="2"/>
  <c r="AU165" i="2"/>
  <c r="V165" i="2"/>
  <c r="AU164" i="2"/>
  <c r="V164" i="2"/>
  <c r="AU163" i="2"/>
  <c r="V163" i="2"/>
  <c r="AY162" i="2"/>
  <c r="AX162" i="2"/>
  <c r="AW162" i="2"/>
  <c r="AM162" i="2"/>
  <c r="AK162" i="2"/>
  <c r="AI162" i="2"/>
  <c r="AG162" i="2"/>
  <c r="AE162" i="2"/>
  <c r="AC162" i="2"/>
  <c r="AA162" i="2"/>
  <c r="Y162" i="2"/>
  <c r="W162" i="2"/>
  <c r="AY161" i="2"/>
  <c r="AX161" i="2"/>
  <c r="AW161" i="2"/>
  <c r="AO161" i="2"/>
  <c r="AE161" i="2"/>
  <c r="AA161" i="2"/>
  <c r="Y161" i="2"/>
  <c r="W161" i="2"/>
  <c r="AY160" i="2"/>
  <c r="AX160" i="2"/>
  <c r="AW160" i="2"/>
  <c r="AU160" i="2"/>
  <c r="AY159" i="2"/>
  <c r="AX159" i="2"/>
  <c r="AW159" i="2"/>
  <c r="AU159" i="2"/>
  <c r="AY158" i="2"/>
  <c r="AX158" i="2"/>
  <c r="AW158" i="2"/>
  <c r="AU158" i="2"/>
  <c r="AY157" i="2"/>
  <c r="AX157" i="2"/>
  <c r="AW157" i="2"/>
  <c r="AU157" i="2"/>
  <c r="AY156" i="2"/>
  <c r="AX156" i="2"/>
  <c r="AW156" i="2"/>
  <c r="AU156" i="2"/>
  <c r="AY155" i="2"/>
  <c r="AX155" i="2"/>
  <c r="AW155" i="2"/>
  <c r="AU155" i="2"/>
  <c r="AY154" i="2"/>
  <c r="AX154" i="2"/>
  <c r="AW154" i="2"/>
  <c r="AU154" i="2"/>
  <c r="AU153" i="2"/>
  <c r="AY152" i="2"/>
  <c r="AX152" i="2"/>
  <c r="AW152" i="2"/>
  <c r="AU152" i="2"/>
  <c r="AY151" i="2"/>
  <c r="AX151" i="2"/>
  <c r="AW151" i="2"/>
  <c r="AU151" i="2"/>
  <c r="AY150" i="2"/>
  <c r="AX150" i="2"/>
  <c r="AW150" i="2"/>
  <c r="AG150" i="2"/>
  <c r="AE150" i="2"/>
  <c r="AY149" i="2"/>
  <c r="AX149" i="2"/>
  <c r="AW149" i="2"/>
  <c r="AU149" i="2"/>
  <c r="AY148" i="2"/>
  <c r="AX148" i="2"/>
  <c r="AW148" i="2"/>
  <c r="AU148" i="2"/>
  <c r="AY147" i="2"/>
  <c r="AX147" i="2"/>
  <c r="AW147" i="2"/>
  <c r="AV147" i="2"/>
  <c r="AG147" i="2"/>
  <c r="AE147" i="2"/>
  <c r="AY146" i="2"/>
  <c r="AX146" i="2"/>
  <c r="AW146" i="2"/>
  <c r="AU146" i="2"/>
  <c r="AU145" i="2"/>
  <c r="AY144" i="2"/>
  <c r="AX144" i="2"/>
  <c r="AW144" i="2"/>
  <c r="AU144" i="2"/>
  <c r="AY143" i="2"/>
  <c r="AX143" i="2"/>
  <c r="AW143" i="2"/>
  <c r="AV143" i="2"/>
  <c r="AU143" i="2"/>
  <c r="AY142" i="2"/>
  <c r="AX142" i="2"/>
  <c r="AW142" i="2"/>
  <c r="AV142" i="2"/>
  <c r="AU142" i="2"/>
  <c r="AY141" i="2"/>
  <c r="AX141" i="2"/>
  <c r="AW141" i="2"/>
  <c r="AV141" i="2"/>
  <c r="AU141" i="2"/>
  <c r="AY140" i="2"/>
  <c r="AX140" i="2"/>
  <c r="AW140" i="2"/>
  <c r="AU140" i="2"/>
  <c r="AU139" i="2"/>
  <c r="AY138" i="2"/>
  <c r="AX138" i="2"/>
  <c r="AW138" i="2"/>
  <c r="AV138" i="2"/>
  <c r="AU138" i="2"/>
  <c r="AY137" i="2"/>
  <c r="AX137" i="2"/>
  <c r="AW137" i="2"/>
  <c r="AU137" i="2"/>
  <c r="AU136" i="2"/>
  <c r="AY135" i="2"/>
  <c r="AX135" i="2"/>
  <c r="AW135" i="2"/>
  <c r="AU135" i="2"/>
  <c r="AY134" i="2"/>
  <c r="AX134" i="2"/>
  <c r="AW134" i="2"/>
  <c r="AE134" i="2"/>
  <c r="AU134" i="2" s="1"/>
  <c r="AY133" i="2"/>
  <c r="AX133" i="2"/>
  <c r="AW133" i="2"/>
  <c r="AU133" i="2"/>
  <c r="AY132" i="2"/>
  <c r="AX132" i="2"/>
  <c r="AW132" i="2"/>
  <c r="AU132" i="2"/>
  <c r="AY131" i="2"/>
  <c r="AX131" i="2"/>
  <c r="AW131" i="2"/>
  <c r="AV131" i="2"/>
  <c r="AU131" i="2"/>
  <c r="AU130" i="2"/>
  <c r="AY129" i="2"/>
  <c r="AX129" i="2"/>
  <c r="AW129" i="2"/>
  <c r="AV129" i="2"/>
  <c r="AU129" i="2"/>
  <c r="AX128" i="2"/>
  <c r="AW128" i="2"/>
  <c r="AU128" i="2"/>
  <c r="AX127" i="2"/>
  <c r="AW127" i="2"/>
  <c r="AG127" i="2"/>
  <c r="AE127" i="2"/>
  <c r="AY126" i="2"/>
  <c r="AX126" i="2"/>
  <c r="AW126" i="2"/>
  <c r="AU126" i="2"/>
  <c r="AX125" i="2"/>
  <c r="AW125" i="2"/>
  <c r="AU125" i="2"/>
  <c r="AU124" i="2"/>
  <c r="AX123" i="2"/>
  <c r="AW123" i="2"/>
  <c r="AU123" i="2"/>
  <c r="AU122" i="2"/>
  <c r="AU121" i="2"/>
  <c r="AY120" i="2"/>
  <c r="AX120" i="2"/>
  <c r="AW120" i="2"/>
  <c r="AV120" i="2"/>
  <c r="AU120" i="2"/>
  <c r="AY119" i="2"/>
  <c r="AX119" i="2"/>
  <c r="AW119" i="2"/>
  <c r="AV119" i="2"/>
  <c r="AM119" i="2"/>
  <c r="AK119" i="2"/>
  <c r="AI119" i="2"/>
  <c r="AG119" i="2"/>
  <c r="AE119" i="2"/>
  <c r="AC119" i="2"/>
  <c r="AA119" i="2"/>
  <c r="Y119" i="2"/>
  <c r="W119" i="2"/>
  <c r="AY118" i="2"/>
  <c r="AX118" i="2"/>
  <c r="AW118" i="2"/>
  <c r="AV118" i="2"/>
  <c r="AU118" i="2"/>
  <c r="AY117" i="2"/>
  <c r="AX117" i="2"/>
  <c r="AW117" i="2"/>
  <c r="AV117" i="2"/>
  <c r="AU117" i="2"/>
  <c r="AY116" i="2"/>
  <c r="AX116" i="2"/>
  <c r="AW116" i="2"/>
  <c r="AU116" i="2"/>
  <c r="AY115" i="2"/>
  <c r="AX115" i="2"/>
  <c r="AW115" i="2"/>
  <c r="AU115" i="2"/>
  <c r="AY114" i="2"/>
  <c r="AX114" i="2"/>
  <c r="AW114" i="2"/>
  <c r="AU114" i="2"/>
  <c r="AY113" i="2"/>
  <c r="AX113" i="2"/>
  <c r="AW113" i="2"/>
  <c r="AU113" i="2"/>
  <c r="AY112" i="2"/>
  <c r="AX112" i="2"/>
  <c r="AW112" i="2"/>
  <c r="AU112" i="2"/>
  <c r="AY111" i="2"/>
  <c r="AX111" i="2"/>
  <c r="AW111" i="2"/>
  <c r="AU111" i="2"/>
  <c r="AY110" i="2"/>
  <c r="AX110" i="2"/>
  <c r="AW110" i="2"/>
  <c r="AU110" i="2"/>
  <c r="AK109" i="2"/>
  <c r="AU109" i="2" s="1"/>
  <c r="V109" i="2"/>
  <c r="AU108" i="2"/>
  <c r="AU107" i="2"/>
  <c r="V107" i="2"/>
  <c r="AK106" i="2"/>
  <c r="AU106" i="2" s="1"/>
  <c r="V106" i="2"/>
  <c r="AU105" i="2"/>
  <c r="V105" i="2"/>
  <c r="AX104" i="2"/>
  <c r="AW104" i="2"/>
  <c r="AV104" i="2"/>
  <c r="AK104" i="2"/>
  <c r="AU104" i="2" s="1"/>
  <c r="V104" i="2"/>
  <c r="AX103" i="2"/>
  <c r="AW103" i="2"/>
  <c r="AV103" i="2"/>
  <c r="AG103" i="2"/>
  <c r="AE103" i="2"/>
  <c r="AC103" i="2"/>
  <c r="AA103" i="2"/>
  <c r="Y103" i="2"/>
  <c r="W103" i="2"/>
  <c r="AU102" i="2"/>
  <c r="AU101" i="2"/>
  <c r="U101" i="2"/>
  <c r="AU100" i="2"/>
  <c r="AU99" i="2"/>
  <c r="AU98" i="2"/>
  <c r="AU97" i="2"/>
  <c r="AX96" i="2"/>
  <c r="AW96" i="2"/>
  <c r="AU96" i="2"/>
  <c r="AU95" i="2"/>
  <c r="V95" i="2"/>
  <c r="AX94" i="2"/>
  <c r="AW94" i="2"/>
  <c r="AV94" i="2"/>
  <c r="AU94" i="2"/>
  <c r="AY93" i="2"/>
  <c r="AX93" i="2"/>
  <c r="AW93" i="2"/>
  <c r="AU93" i="2"/>
  <c r="AV92" i="2"/>
  <c r="AU92" i="2"/>
  <c r="AU91" i="2"/>
  <c r="AU90" i="2"/>
  <c r="V90" i="2"/>
  <c r="AU89" i="2"/>
  <c r="AU88" i="2"/>
  <c r="AY87" i="2"/>
  <c r="AX87" i="2"/>
  <c r="AW87" i="2"/>
  <c r="AU87" i="2"/>
  <c r="AU86" i="2"/>
  <c r="AY85" i="2"/>
  <c r="AX85" i="2"/>
  <c r="AW85" i="2"/>
  <c r="AV85" i="2"/>
  <c r="AE85" i="2"/>
  <c r="AU85" i="2" s="1"/>
  <c r="AY84" i="2"/>
  <c r="AX84" i="2"/>
  <c r="AW84" i="2"/>
  <c r="AA84" i="2"/>
  <c r="AU84" i="2" s="1"/>
  <c r="AY83" i="2"/>
  <c r="AX83" i="2"/>
  <c r="AW83" i="2"/>
  <c r="AV83" i="2"/>
  <c r="AE83" i="2"/>
  <c r="AU83" i="2" s="1"/>
  <c r="AU82" i="2"/>
  <c r="AU81" i="2"/>
  <c r="AU80" i="2"/>
  <c r="AU79" i="2"/>
  <c r="AU78" i="2"/>
  <c r="AU77" i="2"/>
  <c r="AU76" i="2"/>
  <c r="AY75" i="2"/>
  <c r="AX75" i="2"/>
  <c r="AW75" i="2"/>
  <c r="AU75" i="2"/>
  <c r="AY74" i="2"/>
  <c r="AX74" i="2"/>
  <c r="AW74" i="2"/>
  <c r="AU74" i="2"/>
  <c r="AE73" i="2"/>
  <c r="W73" i="2"/>
  <c r="AU72" i="2"/>
  <c r="AU71" i="2"/>
  <c r="AU70" i="2"/>
  <c r="AU69" i="2"/>
  <c r="AU68" i="2"/>
  <c r="AU67" i="2"/>
  <c r="AX66" i="2"/>
  <c r="AW66" i="2"/>
  <c r="AU66" i="2"/>
  <c r="AY65" i="2"/>
  <c r="AX65" i="2"/>
  <c r="AU65" i="2"/>
  <c r="V65" i="2"/>
  <c r="AY64" i="2"/>
  <c r="AX64" i="2"/>
  <c r="AW64" i="2"/>
  <c r="AU64" i="2"/>
  <c r="V64" i="2"/>
  <c r="AU63" i="2"/>
  <c r="AY62" i="2"/>
  <c r="AX62" i="2"/>
  <c r="AU62" i="2"/>
  <c r="AX61" i="2"/>
  <c r="AU61" i="2"/>
  <c r="AY60" i="2"/>
  <c r="AX60" i="2"/>
  <c r="AU60" i="2"/>
  <c r="AU59" i="2"/>
  <c r="AY58" i="2"/>
  <c r="AX58" i="2"/>
  <c r="AW58" i="2"/>
  <c r="AU58" i="2"/>
  <c r="AY57" i="2"/>
  <c r="AX57" i="2"/>
  <c r="AW57" i="2"/>
  <c r="AU57" i="2"/>
  <c r="AY56" i="2"/>
  <c r="AX56" i="2"/>
  <c r="AW56" i="2"/>
  <c r="AU56" i="2"/>
  <c r="AY55" i="2"/>
  <c r="AX55" i="2"/>
  <c r="AW55" i="2"/>
  <c r="AU55" i="2"/>
  <c r="AY54" i="2"/>
  <c r="AX54" i="2"/>
  <c r="AW54" i="2"/>
  <c r="AU54" i="2"/>
  <c r="AY53" i="2"/>
  <c r="AX53" i="2"/>
  <c r="AW53" i="2"/>
  <c r="AU53" i="2"/>
  <c r="AY52" i="2"/>
  <c r="AX52" i="2"/>
  <c r="AW52" i="2"/>
  <c r="AU52" i="2"/>
  <c r="AX51" i="2"/>
  <c r="AW51" i="2"/>
  <c r="AU51" i="2"/>
  <c r="AW50" i="2"/>
  <c r="AU50" i="2"/>
  <c r="AJ225" i="1"/>
  <c r="AB225" i="1"/>
  <c r="V225" i="1"/>
  <c r="T225" i="1"/>
  <c r="AJ224" i="1"/>
  <c r="AB224" i="1"/>
  <c r="V224" i="1"/>
  <c r="T224" i="1"/>
  <c r="AJ223" i="1"/>
  <c r="AB223" i="1"/>
  <c r="V223" i="1"/>
  <c r="T223" i="1"/>
  <c r="AJ222" i="1"/>
  <c r="AB222" i="1"/>
  <c r="V222" i="1"/>
  <c r="T222" i="1"/>
  <c r="AJ221" i="1"/>
  <c r="AB221" i="1"/>
  <c r="V221" i="1"/>
  <c r="T221" i="1"/>
  <c r="AJ220" i="1"/>
  <c r="AB220" i="1"/>
  <c r="V220" i="1"/>
  <c r="T220" i="1"/>
  <c r="AJ219" i="1"/>
  <c r="AB219" i="1"/>
  <c r="V219" i="1"/>
  <c r="T219" i="1"/>
  <c r="AJ218" i="1"/>
  <c r="AB218" i="1"/>
  <c r="V218" i="1"/>
  <c r="T218" i="1"/>
  <c r="AJ217" i="1"/>
  <c r="AB217" i="1"/>
  <c r="V217" i="1"/>
  <c r="T217" i="1"/>
  <c r="AJ216" i="1"/>
  <c r="AB216" i="1"/>
  <c r="V216" i="1"/>
  <c r="T216" i="1"/>
  <c r="AJ215" i="1"/>
  <c r="AB215" i="1"/>
  <c r="V215" i="1"/>
  <c r="T215" i="1"/>
  <c r="AJ214" i="1"/>
  <c r="AB214" i="1"/>
  <c r="V214" i="1"/>
  <c r="T214" i="1"/>
  <c r="AJ213" i="1"/>
  <c r="AB213" i="1"/>
  <c r="V213" i="1"/>
  <c r="T213" i="1"/>
  <c r="AJ212" i="1"/>
  <c r="AB212" i="1"/>
  <c r="V212" i="1"/>
  <c r="T212" i="1"/>
  <c r="AJ211" i="1"/>
  <c r="AB211" i="1"/>
  <c r="V211" i="1"/>
  <c r="T211" i="1"/>
  <c r="AJ210" i="1"/>
  <c r="AB210" i="1"/>
  <c r="V210" i="1"/>
  <c r="T210" i="1"/>
  <c r="AJ209" i="1"/>
  <c r="AB209" i="1"/>
  <c r="V209" i="1"/>
  <c r="T209" i="1"/>
  <c r="AJ208" i="1"/>
  <c r="AB208" i="1"/>
  <c r="V208" i="1"/>
  <c r="T208" i="1"/>
  <c r="AJ207" i="1"/>
  <c r="AB207" i="1"/>
  <c r="V207" i="1"/>
  <c r="T207" i="1"/>
  <c r="AJ206" i="1"/>
  <c r="AB206" i="1"/>
  <c r="V206" i="1"/>
  <c r="T206" i="1"/>
  <c r="AJ205" i="1"/>
  <c r="AB205" i="1"/>
  <c r="V205" i="1"/>
  <c r="T205" i="1"/>
  <c r="AJ204" i="1"/>
  <c r="AB204" i="1"/>
  <c r="V204" i="1"/>
  <c r="T204" i="1"/>
  <c r="AJ203" i="1"/>
  <c r="AB203" i="1"/>
  <c r="V203" i="1"/>
  <c r="T203" i="1"/>
  <c r="AJ202" i="1"/>
  <c r="AB202" i="1"/>
  <c r="V202" i="1"/>
  <c r="T202" i="1"/>
  <c r="AJ201" i="1"/>
  <c r="AB201" i="1"/>
  <c r="V201" i="1"/>
  <c r="T201" i="1"/>
  <c r="AJ200" i="1"/>
  <c r="AB200" i="1"/>
  <c r="V200" i="1"/>
  <c r="T200" i="1"/>
  <c r="AJ199" i="1"/>
  <c r="AB199" i="1"/>
  <c r="V199" i="1"/>
  <c r="T199" i="1"/>
  <c r="AJ198" i="1"/>
  <c r="AB198" i="1"/>
  <c r="V198" i="1"/>
  <c r="T198" i="1"/>
  <c r="AJ197" i="1"/>
  <c r="AB197" i="1"/>
  <c r="V197" i="1"/>
  <c r="T197" i="1"/>
  <c r="AJ196" i="1"/>
  <c r="AB196" i="1"/>
  <c r="V196" i="1"/>
  <c r="T196" i="1"/>
  <c r="AJ195" i="1"/>
  <c r="AB195" i="1"/>
  <c r="V195" i="1"/>
  <c r="T195" i="1"/>
  <c r="AJ194" i="1"/>
  <c r="AB194" i="1"/>
  <c r="V194" i="1"/>
  <c r="T194" i="1"/>
  <c r="AJ193" i="1"/>
  <c r="AB193" i="1"/>
  <c r="V193" i="1"/>
  <c r="T193" i="1"/>
  <c r="AJ192" i="1"/>
  <c r="AB192" i="1"/>
  <c r="V192" i="1"/>
  <c r="T192" i="1"/>
  <c r="AJ191" i="1"/>
  <c r="AB191" i="1"/>
  <c r="V191" i="1"/>
  <c r="T191" i="1"/>
  <c r="AJ190" i="1"/>
  <c r="AB190" i="1"/>
  <c r="V190" i="1"/>
  <c r="T190" i="1"/>
  <c r="AJ189" i="1"/>
  <c r="AB189" i="1"/>
  <c r="V189" i="1"/>
  <c r="T189" i="1"/>
  <c r="AJ188" i="1"/>
  <c r="AB188" i="1"/>
  <c r="V188" i="1"/>
  <c r="T188" i="1"/>
  <c r="AJ187" i="1"/>
  <c r="AB187" i="1"/>
  <c r="V187" i="1"/>
  <c r="T187" i="1"/>
  <c r="AB186" i="1"/>
  <c r="V186" i="1"/>
  <c r="T186" i="1"/>
  <c r="AB185" i="1"/>
  <c r="V185" i="1"/>
  <c r="T185" i="1"/>
  <c r="AB184" i="1"/>
  <c r="V184" i="1"/>
  <c r="T184" i="1"/>
  <c r="AB183" i="1"/>
  <c r="V183" i="1"/>
  <c r="T183" i="1"/>
  <c r="AB182" i="1"/>
  <c r="V182" i="1"/>
  <c r="T182" i="1"/>
  <c r="AB181" i="1"/>
  <c r="V181" i="1"/>
  <c r="T181" i="1"/>
  <c r="AB180" i="1"/>
  <c r="V180" i="1"/>
  <c r="T180" i="1"/>
  <c r="AB179" i="1"/>
  <c r="V179" i="1"/>
  <c r="T179" i="1"/>
  <c r="AB175" i="1"/>
  <c r="V175" i="1"/>
  <c r="T175" i="1"/>
  <c r="AJ173" i="1"/>
  <c r="AB173" i="1"/>
  <c r="V173" i="1"/>
  <c r="T173" i="1"/>
  <c r="AJ172" i="1"/>
  <c r="AB172" i="1"/>
  <c r="V172" i="1"/>
  <c r="T172" i="1"/>
  <c r="AJ171" i="1"/>
  <c r="AB171" i="1"/>
  <c r="V171" i="1"/>
  <c r="T171" i="1"/>
  <c r="AB170" i="1"/>
  <c r="V170" i="1"/>
  <c r="T170" i="1"/>
  <c r="AJ169" i="1"/>
  <c r="AB169" i="1"/>
  <c r="V169" i="1"/>
  <c r="T169" i="1"/>
  <c r="AJ168" i="1"/>
  <c r="AB168" i="1"/>
  <c r="V168" i="1"/>
  <c r="T168" i="1"/>
  <c r="AJ167" i="1"/>
  <c r="AB167" i="1"/>
  <c r="V167" i="1"/>
  <c r="T167" i="1"/>
  <c r="AJ166" i="1"/>
  <c r="AB166" i="1"/>
  <c r="V166" i="1"/>
  <c r="T166" i="1"/>
  <c r="AJ165" i="1"/>
  <c r="AB165" i="1"/>
  <c r="V165" i="1"/>
  <c r="T165" i="1"/>
  <c r="AJ164" i="1"/>
  <c r="AB164" i="1"/>
  <c r="V164" i="1"/>
  <c r="T164" i="1"/>
  <c r="AJ163" i="1"/>
  <c r="AB163" i="1"/>
  <c r="V163" i="1"/>
  <c r="T163" i="1"/>
  <c r="AJ162" i="1"/>
  <c r="AB162" i="1"/>
  <c r="V162" i="1"/>
  <c r="T162" i="1"/>
  <c r="AJ161" i="1"/>
  <c r="AB161" i="1"/>
  <c r="V161" i="1"/>
  <c r="T161" i="1"/>
  <c r="AJ160" i="1"/>
  <c r="AB160" i="1"/>
  <c r="V160" i="1"/>
  <c r="T160" i="1"/>
  <c r="AJ159" i="1"/>
  <c r="AB159" i="1"/>
  <c r="V159" i="1"/>
  <c r="T159" i="1"/>
  <c r="AJ158" i="1"/>
  <c r="AB158" i="1"/>
  <c r="V158" i="1"/>
  <c r="T158" i="1"/>
  <c r="AJ154" i="1"/>
  <c r="AB154" i="1"/>
  <c r="V154" i="1"/>
  <c r="T154" i="1"/>
  <c r="AJ153" i="1"/>
  <c r="AB153" i="1"/>
  <c r="V153" i="1"/>
  <c r="T153" i="1"/>
  <c r="AJ152" i="1"/>
  <c r="AB152" i="1"/>
  <c r="V152" i="1"/>
  <c r="T152" i="1"/>
  <c r="AJ151" i="1"/>
  <c r="AB151" i="1"/>
  <c r="V151" i="1"/>
  <c r="T151" i="1"/>
  <c r="AJ149" i="1"/>
  <c r="AB149" i="1"/>
  <c r="V149" i="1"/>
  <c r="T149" i="1"/>
  <c r="AJ148" i="1"/>
  <c r="AB148" i="1"/>
  <c r="V148" i="1"/>
  <c r="T148" i="1"/>
  <c r="AJ147" i="1"/>
  <c r="AB147" i="1"/>
  <c r="V147" i="1"/>
  <c r="T147" i="1"/>
  <c r="AJ146" i="1"/>
  <c r="AB146" i="1"/>
  <c r="V146" i="1"/>
  <c r="T146" i="1"/>
  <c r="AJ143" i="1"/>
  <c r="AB143" i="1"/>
  <c r="V143" i="1"/>
  <c r="T143" i="1"/>
  <c r="AJ141" i="1"/>
  <c r="AB141" i="1"/>
  <c r="V141" i="1"/>
  <c r="T141" i="1"/>
  <c r="AJ139" i="1"/>
  <c r="AB139" i="1"/>
  <c r="V139" i="1"/>
  <c r="T139" i="1"/>
  <c r="AB135" i="1"/>
  <c r="V135" i="1"/>
  <c r="T135" i="1"/>
  <c r="AB134" i="1"/>
  <c r="V134" i="1"/>
  <c r="T134" i="1"/>
  <c r="AB132" i="1"/>
  <c r="V132" i="1"/>
  <c r="T132" i="1"/>
  <c r="AB131" i="1"/>
  <c r="V131" i="1"/>
  <c r="T131" i="1"/>
  <c r="AB130" i="1"/>
  <c r="V130" i="1"/>
  <c r="T130" i="1"/>
  <c r="AJ129" i="1"/>
  <c r="AB129" i="1"/>
  <c r="V129" i="1"/>
  <c r="T129" i="1"/>
  <c r="AJ128" i="1"/>
  <c r="AB128" i="1"/>
  <c r="V128" i="1"/>
  <c r="T128" i="1"/>
  <c r="AB126" i="1"/>
  <c r="V126" i="1"/>
  <c r="T126" i="1"/>
  <c r="AB125" i="1"/>
  <c r="V125" i="1"/>
  <c r="T125" i="1"/>
  <c r="AJ124" i="1"/>
  <c r="AB124" i="1"/>
  <c r="V124" i="1"/>
  <c r="T124" i="1"/>
  <c r="AJ123" i="1"/>
  <c r="AB123" i="1"/>
  <c r="V123" i="1"/>
  <c r="T123" i="1"/>
  <c r="AJ122" i="1"/>
  <c r="AB122" i="1"/>
  <c r="V122" i="1"/>
  <c r="T122" i="1"/>
  <c r="AJ121" i="1"/>
  <c r="AB121" i="1"/>
  <c r="V121" i="1"/>
  <c r="T121" i="1"/>
  <c r="AB120" i="1"/>
  <c r="V120" i="1"/>
  <c r="T120" i="1"/>
  <c r="AB119" i="1"/>
  <c r="V119" i="1"/>
  <c r="T119" i="1"/>
  <c r="AB118" i="1"/>
  <c r="V118" i="1"/>
  <c r="T118" i="1"/>
  <c r="AB117" i="1"/>
  <c r="V117" i="1"/>
  <c r="T117" i="1"/>
  <c r="AB116" i="1"/>
  <c r="V116" i="1"/>
  <c r="T116" i="1"/>
  <c r="AB115" i="1"/>
  <c r="V115" i="1"/>
  <c r="T115" i="1"/>
  <c r="AB114" i="1"/>
  <c r="V114" i="1"/>
  <c r="T114" i="1"/>
  <c r="AB113" i="1"/>
  <c r="V113" i="1"/>
  <c r="T113" i="1"/>
  <c r="AB112" i="1"/>
  <c r="V112" i="1"/>
  <c r="T112" i="1"/>
  <c r="AJ111" i="1"/>
  <c r="AB111" i="1"/>
  <c r="V111" i="1"/>
  <c r="T111" i="1"/>
  <c r="AB110" i="1"/>
  <c r="V110" i="1"/>
  <c r="T110" i="1"/>
  <c r="AB109" i="1"/>
  <c r="V109" i="1"/>
  <c r="T109" i="1"/>
  <c r="AB108" i="1"/>
  <c r="V108" i="1"/>
  <c r="T108" i="1"/>
  <c r="AB107" i="1"/>
  <c r="V107" i="1"/>
  <c r="T107" i="1"/>
  <c r="AB106" i="1"/>
  <c r="V106" i="1"/>
  <c r="T106" i="1"/>
  <c r="AB100" i="1"/>
  <c r="V100" i="1"/>
  <c r="T100" i="1"/>
  <c r="AB99" i="1"/>
  <c r="V99" i="1"/>
  <c r="T99" i="1"/>
  <c r="AB98" i="1"/>
  <c r="V98" i="1"/>
  <c r="T98" i="1"/>
  <c r="AJ97" i="1"/>
  <c r="AB97" i="1"/>
  <c r="V97" i="1"/>
  <c r="T97" i="1"/>
  <c r="AB92" i="1"/>
  <c r="V92" i="1"/>
  <c r="T92" i="1"/>
  <c r="AB91" i="1"/>
  <c r="V91" i="1"/>
  <c r="T91" i="1"/>
  <c r="AB89" i="1"/>
  <c r="V89" i="1"/>
  <c r="T89" i="1"/>
  <c r="AJ88" i="1"/>
  <c r="AB88" i="1"/>
  <c r="V88" i="1"/>
  <c r="T88" i="1"/>
  <c r="AJ86" i="1"/>
  <c r="AB86" i="1"/>
  <c r="V86" i="1"/>
  <c r="T86" i="1"/>
  <c r="AJ81" i="1"/>
  <c r="AB81" i="1"/>
  <c r="V81" i="1"/>
  <c r="T81" i="1"/>
  <c r="AJ79" i="1"/>
  <c r="AB79" i="1"/>
  <c r="V79" i="1"/>
  <c r="T79" i="1"/>
  <c r="AB78" i="1"/>
  <c r="V78" i="1"/>
  <c r="T78" i="1"/>
  <c r="AB76" i="1"/>
  <c r="V76" i="1"/>
  <c r="T76" i="1"/>
  <c r="AB75" i="1"/>
  <c r="V75" i="1"/>
  <c r="T75" i="1"/>
  <c r="AB74" i="1"/>
  <c r="V74" i="1"/>
  <c r="T74" i="1"/>
  <c r="AB73" i="1"/>
  <c r="V73" i="1"/>
  <c r="T73" i="1"/>
  <c r="AB72" i="1"/>
  <c r="V72" i="1"/>
  <c r="T72" i="1"/>
  <c r="AB71" i="1"/>
  <c r="V71" i="1"/>
  <c r="T71" i="1"/>
  <c r="AB70" i="1"/>
  <c r="V70" i="1"/>
  <c r="T70" i="1"/>
  <c r="AB69" i="1"/>
  <c r="V69" i="1"/>
  <c r="T69" i="1"/>
  <c r="AB68" i="1"/>
  <c r="V68" i="1"/>
  <c r="T68" i="1"/>
  <c r="AJ66" i="1"/>
  <c r="AB66" i="1"/>
  <c r="V66" i="1"/>
  <c r="T66" i="1"/>
  <c r="AJ65" i="1"/>
  <c r="AB65" i="1"/>
  <c r="V65" i="1"/>
  <c r="T65" i="1"/>
  <c r="AJ64" i="1"/>
  <c r="AB64" i="1"/>
  <c r="V64" i="1"/>
  <c r="T64" i="1"/>
  <c r="AJ63" i="1"/>
  <c r="AB63" i="1"/>
  <c r="V63" i="1"/>
  <c r="T63" i="1"/>
  <c r="AJ59" i="1"/>
  <c r="AB59" i="1"/>
  <c r="V59" i="1"/>
  <c r="T59" i="1"/>
  <c r="AJ58" i="1"/>
  <c r="AB58" i="1"/>
  <c r="V58" i="1"/>
  <c r="T58" i="1"/>
  <c r="AJ57" i="1"/>
  <c r="AB57" i="1"/>
  <c r="V57" i="1"/>
  <c r="T57" i="1"/>
  <c r="AJ56" i="1"/>
  <c r="AB56" i="1"/>
  <c r="V56" i="1"/>
  <c r="T56" i="1"/>
  <c r="AJ54" i="1"/>
  <c r="AB54" i="1"/>
  <c r="V54" i="1"/>
  <c r="T54" i="1"/>
  <c r="AJ52" i="1"/>
  <c r="AB52" i="1"/>
  <c r="V52" i="1"/>
  <c r="T52" i="1"/>
  <c r="AB51" i="1"/>
  <c r="V51" i="1"/>
  <c r="T51" i="1"/>
  <c r="AJ50" i="1"/>
  <c r="AB50" i="1"/>
  <c r="V50" i="1"/>
  <c r="T50" i="1"/>
  <c r="AJ49" i="1"/>
  <c r="AB49" i="1"/>
  <c r="V49" i="1"/>
  <c r="T49" i="1"/>
  <c r="AJ48" i="1"/>
  <c r="AB48" i="1"/>
  <c r="V48" i="1"/>
  <c r="T48" i="1"/>
  <c r="AJ46" i="1"/>
  <c r="AB46" i="1"/>
  <c r="V46" i="1"/>
  <c r="T46" i="1"/>
  <c r="AU150" i="2" l="1"/>
  <c r="AU708" i="2"/>
  <c r="AU715" i="2"/>
  <c r="AU718" i="2"/>
  <c r="AU720" i="2"/>
  <c r="AU723" i="2"/>
  <c r="AU728" i="2"/>
  <c r="AU729" i="2"/>
  <c r="AU734" i="2"/>
  <c r="AU735" i="2"/>
  <c r="AU752" i="2"/>
  <c r="AU761" i="2"/>
  <c r="AU775" i="2"/>
  <c r="AU776" i="2"/>
  <c r="AU785" i="2"/>
  <c r="AU103" i="2"/>
  <c r="AU681" i="2"/>
  <c r="AU702" i="2"/>
  <c r="AU704" i="2"/>
  <c r="AU717" i="2"/>
  <c r="AU733" i="2"/>
  <c r="AU755" i="2"/>
  <c r="AU768" i="2"/>
  <c r="AU770" i="2"/>
  <c r="AU147" i="2"/>
  <c r="AU675" i="2"/>
  <c r="AU676" i="2"/>
  <c r="AU687" i="2"/>
  <c r="AU688" i="2"/>
  <c r="AU693" i="2"/>
  <c r="AU694" i="2"/>
  <c r="AU695" i="2"/>
  <c r="AU696" i="2"/>
  <c r="AU701" i="2"/>
  <c r="AU711" i="2"/>
  <c r="AU727" i="2"/>
  <c r="AU753" i="2"/>
  <c r="AU766" i="2"/>
  <c r="AU771" i="2"/>
  <c r="AU127" i="2"/>
  <c r="AU73" i="2"/>
  <c r="AU161" i="2"/>
  <c r="AU191" i="2"/>
  <c r="AU211" i="2"/>
  <c r="AU119" i="2"/>
  <c r="AU162" i="2"/>
  <c r="AJ186" i="1"/>
  <c r="AJ185" i="1"/>
  <c r="AJ184" i="1"/>
  <c r="AJ183" i="1"/>
  <c r="AJ182" i="1"/>
  <c r="AJ181" i="1"/>
  <c r="AJ180" i="1"/>
  <c r="AJ179" i="1"/>
  <c r="AJ175" i="1"/>
  <c r="AJ170" i="1"/>
  <c r="AJ135" i="1"/>
  <c r="AJ134" i="1"/>
  <c r="AJ132" i="1"/>
  <c r="AJ131" i="1"/>
  <c r="AJ130" i="1"/>
  <c r="AJ126" i="1"/>
  <c r="AJ125" i="1"/>
  <c r="AJ120" i="1"/>
  <c r="AJ119" i="1"/>
  <c r="AJ118" i="1"/>
  <c r="AJ117" i="1"/>
  <c r="AJ116" i="1"/>
  <c r="AJ115" i="1"/>
  <c r="AJ114" i="1"/>
  <c r="AJ113" i="1"/>
  <c r="AJ112" i="1"/>
  <c r="AJ110" i="1"/>
  <c r="AJ109" i="1"/>
  <c r="AJ108" i="1"/>
  <c r="AJ107" i="1"/>
  <c r="AJ106" i="1"/>
  <c r="AJ100" i="1"/>
  <c r="AJ99" i="1"/>
  <c r="AJ98" i="1"/>
  <c r="AJ92" i="1"/>
  <c r="AJ91" i="1"/>
  <c r="AJ89" i="1"/>
  <c r="AJ78" i="1"/>
  <c r="AJ76" i="1"/>
  <c r="AJ75" i="1"/>
  <c r="AJ74" i="1"/>
  <c r="AJ73" i="1"/>
  <c r="AJ72" i="1"/>
  <c r="AJ71" i="1"/>
  <c r="AJ70" i="1"/>
  <c r="AJ69" i="1"/>
  <c r="AJ68" i="1"/>
  <c r="AJ51" i="1"/>
  <c r="AM36" i="3" l="1"/>
  <c r="AM35" i="3"/>
  <c r="N35" i="3"/>
  <c r="AM34" i="3"/>
  <c r="AM33" i="3"/>
  <c r="N33" i="3"/>
  <c r="AM32" i="3"/>
  <c r="AM31" i="3"/>
  <c r="N31" i="3"/>
  <c r="AM30" i="3"/>
  <c r="H30" i="3"/>
  <c r="AM29" i="3"/>
  <c r="N29" i="3"/>
  <c r="AM28" i="3"/>
  <c r="AM27" i="3"/>
  <c r="N27" i="3"/>
  <c r="AM26" i="3"/>
  <c r="AM25" i="3"/>
  <c r="AU24" i="2"/>
  <c r="V24" i="2"/>
  <c r="AU23" i="2"/>
  <c r="V23" i="2"/>
  <c r="AU22" i="2"/>
  <c r="V22" i="2"/>
  <c r="AU21" i="2"/>
  <c r="V21" i="2"/>
  <c r="AU20" i="2"/>
  <c r="V20" i="2"/>
  <c r="AU19" i="2"/>
  <c r="V19" i="2"/>
  <c r="AS17" i="2" l="1"/>
  <c r="AQ17" i="2"/>
  <c r="AO17" i="2"/>
  <c r="AE17" i="2"/>
  <c r="AC17" i="2"/>
  <c r="AA17" i="2"/>
  <c r="Y17" i="2"/>
  <c r="W17" i="2"/>
  <c r="AM17" i="3"/>
  <c r="AU15" i="2"/>
  <c r="AM12" i="3"/>
  <c r="AU11" i="2"/>
  <c r="AU17" i="2" l="1"/>
</calcChain>
</file>

<file path=xl/sharedStrings.xml><?xml version="1.0" encoding="utf-8"?>
<sst xmlns="http://schemas.openxmlformats.org/spreadsheetml/2006/main" count="45527" uniqueCount="1742">
  <si>
    <t>Район</t>
  </si>
  <si>
    <t>Улица</t>
  </si>
  <si>
    <t>Код дома БТИ</t>
  </si>
  <si>
    <t>Ед. изм.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</si>
  <si>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</si>
  <si>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</si>
  <si>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</si>
  <si>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</si>
  <si>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</si>
  <si>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</si>
  <si>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</si>
  <si>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</si>
  <si>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</si>
  <si>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</si>
  <si>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</si>
  <si>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</si>
  <si>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</si>
  <si>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Тип стен</t>
  </si>
  <si>
    <t>Площадь жилых помещений</t>
  </si>
  <si>
    <t>Номер строения</t>
  </si>
  <si>
    <t>Тип дома</t>
  </si>
  <si>
    <t>Серия дома</t>
  </si>
  <si>
    <t>№ п/п</t>
  </si>
  <si>
    <t>Общая площадь дома</t>
  </si>
  <si>
    <t>Поставщик ресурсов</t>
  </si>
  <si>
    <t>Отопление (да/нет)</t>
  </si>
  <si>
    <t>Приложение № 1</t>
  </si>
  <si>
    <t> </t>
  </si>
  <si>
    <t>                              </t>
  </si>
  <si>
    <t> .</t>
  </si>
  <si>
    <t>Примечания:</t>
  </si>
  <si>
    <t>ХВС
(да/нет)</t>
  </si>
  <si>
    <t>ГВС
(да/нет)</t>
  </si>
  <si>
    <t>Графа "1" - номер по прорядку</t>
  </si>
  <si>
    <t>Водоотведение (да/нет)</t>
  </si>
  <si>
    <t>Газоснабжение (да/нет)</t>
  </si>
  <si>
    <t>Оснащение электроплитами
(да/нет)</t>
  </si>
  <si>
    <t>объем ТЭР</t>
  </si>
  <si>
    <t>Электоэнергия (да/нет)</t>
  </si>
  <si>
    <t>Кол-во лифтов дома, шт.</t>
  </si>
  <si>
    <t>Общая отапливаемая площадь дома</t>
  </si>
  <si>
    <t>Форма управления МКД</t>
  </si>
  <si>
    <t>МР*</t>
  </si>
  <si>
    <t>2013 год</t>
  </si>
  <si>
    <t>Суммарное фактическое потребление МКД по всем вводам</t>
  </si>
  <si>
    <t>2011 год</t>
  </si>
  <si>
    <t xml:space="preserve">2012 год </t>
  </si>
  <si>
    <t>Электроэнергия МОП</t>
  </si>
  <si>
    <t>Освещение МОП</t>
  </si>
  <si>
    <t>кВт.ч.</t>
  </si>
  <si>
    <t>Суммарный объем</t>
  </si>
  <si>
    <t>Вид ресурса (тепловая энергия для нужд отопления)</t>
  </si>
  <si>
    <t>Приложение № 2.1.</t>
  </si>
  <si>
    <t>Приложение № 2.2.</t>
  </si>
  <si>
    <t>Суммарный объем ТЭР</t>
  </si>
  <si>
    <t>Площадь  нежилых помещений (за искл. мест общего пользования)</t>
  </si>
  <si>
    <t>Оснащение газ. колонками (да/нет)</t>
  </si>
  <si>
    <t>ИТОГО</t>
  </si>
  <si>
    <t xml:space="preserve"> Технические характеристики МКД</t>
  </si>
  <si>
    <t>Адрес МКД</t>
  </si>
  <si>
    <t>Номер</t>
  </si>
  <si>
    <t>ХВС</t>
  </si>
  <si>
    <t>ГВС</t>
  </si>
  <si>
    <t>Газ</t>
  </si>
  <si>
    <t>Графа "11" - указывается тип дома (Блочный, Брежневка, Индивидуальный, Кирпично-Монолитный, Монолит, Панельные дома, Сталинка, Хрущевка, и т.д.)</t>
  </si>
  <si>
    <t>Графа "12" - указывается серия дома</t>
  </si>
  <si>
    <t>Графа "13" - указывается год сдачи дома в эксплуатацию</t>
  </si>
  <si>
    <t>Графа "14" - указывается тип стен</t>
  </si>
  <si>
    <t>Графа "16" - указывается количество подземных этажей</t>
  </si>
  <si>
    <t>Графа "18" - указывается количество квартир</t>
  </si>
  <si>
    <t>Графа "19" - указывается общая площадь дома, согласно паспорта БТИ</t>
  </si>
  <si>
    <t>Графа "21" - указывается общая площадь жилых помещений, согласно паспорта БТИ</t>
  </si>
  <si>
    <t>Графа "22" - указывается площадь нежилых помещений, за исключением мест общего пользования</t>
  </si>
  <si>
    <t>Графа "23" - указывается наличие централизованного подключения к электросетям (да/нет)</t>
  </si>
  <si>
    <t>Графа "24" - указывается наличие централизованного подключения к сетям холодного водоснабжения (да/нет)</t>
  </si>
  <si>
    <t>Графа "25" - указывается наличие централизованного подключения к сетям горячего водоснабжения  (да/нет)</t>
  </si>
  <si>
    <t>Графа "26" - указывается наличие централизованного водоотведения  (да/нет)</t>
  </si>
  <si>
    <t>Графа "27" - указывается наличие централизованного теплоснабжения  (да/нет)</t>
  </si>
  <si>
    <t>Графа "28" - указывается наличие централизованного газоснабжения  (да/нет)</t>
  </si>
  <si>
    <t>Графа "29" - указывается оснащение помещений газовыми колонками (да/нет)</t>
  </si>
  <si>
    <t>Графа "30" - указывается оснащение помещений газовыми плитами  (да/нет)</t>
  </si>
  <si>
    <t>Графа "31" - указывается оснащение помещений электрическими плитами  (да/нет)</t>
  </si>
  <si>
    <t>Количество общедомовых приборов учета энергоресурсов на вводах, шт.</t>
  </si>
  <si>
    <t>Тип подключения дома (ЦТП, ИТП)</t>
  </si>
  <si>
    <t>Потребитель ресурса (с кем у РСО заключен договор)</t>
  </si>
  <si>
    <t>Кол-во приборов учета тепловой энергии</t>
  </si>
  <si>
    <t>Наличие прибора электроэнергии (да/нет)</t>
  </si>
  <si>
    <t>Использование для расчетов приборов учета электроэнергии  (да/нет)</t>
  </si>
  <si>
    <t>Вид схемы теплоснабжения (закрытая, открытая)</t>
  </si>
  <si>
    <t>Графа "20" - указывается общая отапливаемая площадь дома, согласно паспорта БТИ (полезная)</t>
  </si>
  <si>
    <t>Количество элеваторных узлов (при их наличии)</t>
  </si>
  <si>
    <t>тип светильника</t>
  </si>
  <si>
    <t>количество светильников</t>
  </si>
  <si>
    <t>тип системы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</si>
  <si>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</si>
  <si>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</si>
  <si>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</si>
  <si>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</si>
  <si>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</si>
  <si>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</si>
  <si>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</si>
  <si>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</si>
  <si>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</si>
  <si>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примечание</t>
  </si>
  <si>
    <t>Внутридомовое освещение</t>
  </si>
  <si>
    <t>Наружнее освещение</t>
  </si>
  <si>
    <t>Графа "32" - указывается общее количество лифтов в доме</t>
  </si>
  <si>
    <t>Графа "33" - указывается количество приборов учета электрической энергии установленных на вводах в дом</t>
  </si>
  <si>
    <t>Графа "34" - указывается количество приборов учета холодного водоснабжения установленных на вводах в дом</t>
  </si>
  <si>
    <t>Графа "35" - указывается количество приборов учета горячего водоснабжения установленных на вводах в дом</t>
  </si>
  <si>
    <t>Графа "36" - указывается количество приборов учета тепловой энергии установленных на вводах в дом</t>
  </si>
  <si>
    <t>Графа "37" - указывается количество приборов учета газа установленных на вводах в дом</t>
  </si>
  <si>
    <t>Оснащение газ.плитами
(да/нет)</t>
  </si>
  <si>
    <t>Общие характеристики многоквартирных домов (МКД) на территории</t>
  </si>
  <si>
    <t>муниципальное образование</t>
  </si>
  <si>
    <t>Графа "2" - указывается полное наименование района</t>
  </si>
  <si>
    <t>Графа "3" - указывается полное наименование муниципального образования в районе</t>
  </si>
  <si>
    <t>примеча ние</t>
  </si>
  <si>
    <t>тел. +7 921 320 03 48</t>
  </si>
  <si>
    <t>Контактные данные:</t>
  </si>
  <si>
    <t>СПбГБУ "Центр энергосбережения"</t>
  </si>
  <si>
    <t>Бычков Дмитрий Леонидович</t>
  </si>
  <si>
    <t>Приложение № 1 - Примечания</t>
  </si>
  <si>
    <t>Комментарии</t>
  </si>
  <si>
    <t>Фактическое потребление тепловой энергии для нужд отопления</t>
  </si>
  <si>
    <t>в многоквартирных домах (МКД)</t>
  </si>
  <si>
    <t>Фактическое потребление электрической энергии</t>
  </si>
  <si>
    <t>*- в столбце «МР» (метод расчета):
Д – расчет по приборам учета
Р – расчетный метод (юридический акт, договорная величина и пр.).</t>
  </si>
  <si>
    <t>Графы "2"-"10" заполнять по всем многоквартирным домам района</t>
  </si>
  <si>
    <t>Кол-во парадных</t>
  </si>
  <si>
    <t>Кол-во квартир</t>
  </si>
  <si>
    <t>Год по стройки</t>
  </si>
  <si>
    <t>ЭЭ</t>
  </si>
  <si>
    <t>ТЭ</t>
  </si>
  <si>
    <t>Кол-во подземных этажей (при разной этажности указать через "/", начиная с 1-ой парадной)</t>
  </si>
  <si>
    <t>Количество этажей (при разной этажности указать через "/", начиная с 1-ой парадной)</t>
  </si>
  <si>
    <t>Графа "15" - указывается количество этажей (цокольный этаж, 1-й этаж и т.п.) (при разной этажности указать через "/", начиная с 1-ой парадной)</t>
  </si>
  <si>
    <t>Графа "17" - указывается количество пардных</t>
  </si>
  <si>
    <t>в местах общего пользования (МОП) многоквартирных домов (МКД)</t>
  </si>
  <si>
    <t>Сумм. объем</t>
  </si>
  <si>
    <t>Норматив ный температур ный график**</t>
  </si>
  <si>
    <t>Договор ная нагрузка</t>
  </si>
  <si>
    <t>Схема присоединения системы отопления (зависимая/ независимая)</t>
  </si>
  <si>
    <t>Наличие транзита на отопление (разгружен/ не разгружен)</t>
  </si>
  <si>
    <t>Силовая нагрузка</t>
  </si>
  <si>
    <t>Отопление</t>
  </si>
  <si>
    <t>Гкал</t>
  </si>
  <si>
    <t xml:space="preserve"> непосредственное управление.</t>
  </si>
  <si>
    <t>типов - столбец не заполняется.</t>
  </si>
  <si>
    <t>Графа "38" - комментарии</t>
  </si>
  <si>
    <t>Графа "5, 6, 7" - указывается номер дома, номер корпуса, номер строения</t>
  </si>
  <si>
    <t>Графа "4" - указывается полное наименование улицы</t>
  </si>
  <si>
    <t>Графа "9" - указывается форма управления домом: организацией с гос. участием (в т.ч. опосредованным); частная управляющая организация; ТСЖ, ЖК, ЖСК;</t>
  </si>
  <si>
    <t>Категория дома: ведомственный / общежитие / гостиничного типа / на сцепке / аварийный / культ. наследия</t>
  </si>
  <si>
    <t>Номер корпуса (литера)</t>
  </si>
  <si>
    <t>Графа "8" - указывается уникальный номер здания (УНОМ), начинающийся с цифрового значения района (справочник прилагается). 00_00000</t>
  </si>
  <si>
    <t>Графа "10" - указывается тип жилищного фонда: ведомственный дом, общежитие, дом гостиничного типа, дом на сцепке, дом аварийный, дом кутльтурного наследия.</t>
  </si>
  <si>
    <t xml:space="preserve">Если указан один из перечисленных признаков - остальные столбцы таблицы для такого МКД не заполняются. Если МКД не относится ни к отдному из перечисленных </t>
  </si>
  <si>
    <t>Перечень районов:</t>
  </si>
  <si>
    <t>Уникаль ный код дома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</si>
  <si>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</si>
  <si>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</si>
  <si>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</si>
  <si>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</si>
  <si>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</si>
  <si>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</si>
  <si>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</si>
  <si>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</si>
  <si>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</si>
  <si>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</si>
  <si>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</si>
  <si>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</si>
  <si>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</si>
  <si>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</si>
  <si>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</si>
  <si>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</si>
  <si>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</si>
  <si>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</si>
  <si>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Адмиралтейский район</t>
  </si>
  <si>
    <t>Василеостровский район</t>
  </si>
  <si>
    <t>Выборгский район</t>
  </si>
  <si>
    <t>Калининский район</t>
  </si>
  <si>
    <t>Кировский район</t>
  </si>
  <si>
    <t>Колпинский район</t>
  </si>
  <si>
    <t>Красногвардейский район</t>
  </si>
  <si>
    <t>Красносельский район</t>
  </si>
  <si>
    <t>Кронштадтcкий район</t>
  </si>
  <si>
    <t>Курортный район</t>
  </si>
  <si>
    <t>Московский район</t>
  </si>
  <si>
    <t>Невский район</t>
  </si>
  <si>
    <t>Петроградский район</t>
  </si>
  <si>
    <t>Петродворцовый район</t>
  </si>
  <si>
    <t>Приморский район</t>
  </si>
  <si>
    <t>Пушкинский район</t>
  </si>
  <si>
    <t>Фрунзенский район</t>
  </si>
  <si>
    <t>Центральный район</t>
  </si>
  <si>
    <t>Фрунзенский</t>
  </si>
  <si>
    <t>75 муниципальный округ</t>
  </si>
  <si>
    <t>Дунайский проспект</t>
  </si>
  <si>
    <t>Панельный</t>
  </si>
  <si>
    <t>Панельные</t>
  </si>
  <si>
    <t>12/16</t>
  </si>
  <si>
    <t>Да</t>
  </si>
  <si>
    <t>Нет</t>
  </si>
  <si>
    <t>ЦТП</t>
  </si>
  <si>
    <t>Открытая</t>
  </si>
  <si>
    <t>Товарищество собственников жилья "Дунайский 51/2"</t>
  </si>
  <si>
    <t>Д</t>
  </si>
  <si>
    <t>Зависимая</t>
  </si>
  <si>
    <t>Отсутствует</t>
  </si>
  <si>
    <t>Сведения отсутствуют</t>
  </si>
  <si>
    <t>105-70</t>
  </si>
  <si>
    <t>ТСЖ (с сентября 2012г.)</t>
  </si>
  <si>
    <t>Открытое Акционерное Общество "Петербургская сбытовая компания"</t>
  </si>
  <si>
    <t xml:space="preserve">Открытое акционерное общество "Территориальная Генирирующая Компания №1" </t>
  </si>
  <si>
    <t>М.Балканская</t>
  </si>
  <si>
    <t>панельный</t>
  </si>
  <si>
    <t>панельные</t>
  </si>
  <si>
    <t>да</t>
  </si>
  <si>
    <t>нет</t>
  </si>
  <si>
    <t>ОАО"ТГК-1"</t>
  </si>
  <si>
    <t>ТСЖ"Малая Балканская 60/1"</t>
  </si>
  <si>
    <t>однотрубная</t>
  </si>
  <si>
    <t>95-70</t>
  </si>
  <si>
    <t>ДВУХТРУБНАЯ</t>
  </si>
  <si>
    <t xml:space="preserve"> </t>
  </si>
  <si>
    <t>1060.15</t>
  </si>
  <si>
    <t>686.18</t>
  </si>
  <si>
    <t>932.25</t>
  </si>
  <si>
    <t>588.72</t>
  </si>
  <si>
    <t>224.01</t>
  </si>
  <si>
    <t>104.86</t>
  </si>
  <si>
    <t>92.00</t>
  </si>
  <si>
    <t>88.23</t>
  </si>
  <si>
    <t>127.95</t>
  </si>
  <si>
    <t>559.46</t>
  </si>
  <si>
    <t>568.14</t>
  </si>
  <si>
    <t>737.85</t>
  </si>
  <si>
    <t>ЗАВИСИМАЯ</t>
  </si>
  <si>
    <t>ОТСУТСТВУЕТ</t>
  </si>
  <si>
    <t>ОАО"ПСК"</t>
  </si>
  <si>
    <t>ТСЖ"М.Балканская 60/1"</t>
  </si>
  <si>
    <t>НББ64-60</t>
  </si>
  <si>
    <t>ДРЛ250</t>
  </si>
  <si>
    <t>Пловдивская</t>
  </si>
  <si>
    <t>А</t>
  </si>
  <si>
    <t>26/10</t>
  </si>
  <si>
    <t>ТСЖ</t>
  </si>
  <si>
    <t>1ЛГ-504Д-МК</t>
  </si>
  <si>
    <t>ОАО "Теплосеть СПб"</t>
  </si>
  <si>
    <t>закрытая</t>
  </si>
  <si>
    <t>ГКУ "ЖА"</t>
  </si>
  <si>
    <t>двухтрубная</t>
  </si>
  <si>
    <t>150мм</t>
  </si>
  <si>
    <t>6,5</t>
  </si>
  <si>
    <t>110/70</t>
  </si>
  <si>
    <t>независимая</t>
  </si>
  <si>
    <t>649,9</t>
  </si>
  <si>
    <t>ОДУУ</t>
  </si>
  <si>
    <t>450,7</t>
  </si>
  <si>
    <t>606,1</t>
  </si>
  <si>
    <t>102,4</t>
  </si>
  <si>
    <t>1,97</t>
  </si>
  <si>
    <t>120/70</t>
  </si>
  <si>
    <t>открытая</t>
  </si>
  <si>
    <t>куб.м.</t>
  </si>
  <si>
    <t>100мм</t>
  </si>
  <si>
    <t>65/50</t>
  </si>
  <si>
    <t>ОАО "ПСК"</t>
  </si>
  <si>
    <t>ТСЖ "Пловдивская 9"</t>
  </si>
  <si>
    <t>СББ-01</t>
  </si>
  <si>
    <t>РКУ25-400</t>
  </si>
  <si>
    <t>Димитрова</t>
  </si>
  <si>
    <t>ТСЖ «Димитрова 9/1»</t>
  </si>
  <si>
    <t>керамзитобетонные</t>
  </si>
  <si>
    <t xml:space="preserve">ТСЖ </t>
  </si>
  <si>
    <t>МО 74 «Георгиевский"</t>
  </si>
  <si>
    <t>ОАО «ТГК-1»</t>
  </si>
  <si>
    <t>3-трубная</t>
  </si>
  <si>
    <t>5,2кг/см2</t>
  </si>
  <si>
    <t>СА-18, ЛПО- 1х 36; ЛПО-1  х18</t>
  </si>
  <si>
    <t>ПРС-100, ПРС-10</t>
  </si>
  <si>
    <t>5 + 2</t>
  </si>
  <si>
    <t>МО 72</t>
  </si>
  <si>
    <t>Турку</t>
  </si>
  <si>
    <t>17_000001</t>
  </si>
  <si>
    <t>Панельны</t>
  </si>
  <si>
    <t>1ЛГ-504-Д</t>
  </si>
  <si>
    <t>ИТП</t>
  </si>
  <si>
    <t>Закрытая</t>
  </si>
  <si>
    <t>ТСЖ "Турку 27"</t>
  </si>
  <si>
    <t>Люм</t>
  </si>
  <si>
    <t>Натриевые</t>
  </si>
  <si>
    <t>керамзитобетонные панели</t>
  </si>
  <si>
    <t>Товарищество собственников жилья "Улица Турку дом 29 корпус1"</t>
  </si>
  <si>
    <t>есть</t>
  </si>
  <si>
    <t>зависимая</t>
  </si>
  <si>
    <t>отсутствует</t>
  </si>
  <si>
    <t>Д/Дср</t>
  </si>
  <si>
    <t>светодиодные</t>
  </si>
  <si>
    <t>ЖКУ</t>
  </si>
  <si>
    <t>Геогргиевское</t>
  </si>
  <si>
    <t>Малая Балканская</t>
  </si>
  <si>
    <t>Другое</t>
  </si>
  <si>
    <t>1-528</t>
  </si>
  <si>
    <t>Крпичные</t>
  </si>
  <si>
    <t xml:space="preserve">Бухарестская </t>
  </si>
  <si>
    <t>литА</t>
  </si>
  <si>
    <t>на сцепке</t>
  </si>
  <si>
    <t>1ЛГ-507-41</t>
  </si>
  <si>
    <t>бетонные</t>
  </si>
  <si>
    <t>1ЛГ-502-9</t>
  </si>
  <si>
    <t>Пражская</t>
  </si>
  <si>
    <t>1ЛГ-602В-6</t>
  </si>
  <si>
    <t>Славы</t>
  </si>
  <si>
    <t>1ЛГ-502-6</t>
  </si>
  <si>
    <t>железобетонные</t>
  </si>
  <si>
    <t>Софийская</t>
  </si>
  <si>
    <t>кирпичный</t>
  </si>
  <si>
    <t>индивидуальный</t>
  </si>
  <si>
    <t>кирпичные</t>
  </si>
  <si>
    <t>ТСЖ"Бухарестская 27-2"</t>
  </si>
  <si>
    <t>120-70</t>
  </si>
  <si>
    <t>элеваторная</t>
  </si>
  <si>
    <t>прямые параметры</t>
  </si>
  <si>
    <t>данных нет</t>
  </si>
  <si>
    <t>открытая двухтрубная</t>
  </si>
  <si>
    <t>не разгружен</t>
  </si>
  <si>
    <t>ТСЖ"Бухарестская 94-2"</t>
  </si>
  <si>
    <t>двухтрубная с циркуляцией</t>
  </si>
  <si>
    <t>ТСЖ"Пражская 33"</t>
  </si>
  <si>
    <t>ТСЖ"Славы 38-2"</t>
  </si>
  <si>
    <t>ТСЖ"Славы 40-4"</t>
  </si>
  <si>
    <t>ТСЖ"Софийская 29-2"</t>
  </si>
  <si>
    <t>ТСЖ  "М.Балканская , 4/1"</t>
  </si>
  <si>
    <t>люминисцентные 18вт</t>
  </si>
  <si>
    <t>лампы накаливания</t>
  </si>
  <si>
    <t>НББ</t>
  </si>
  <si>
    <t xml:space="preserve">Фрунзенский </t>
  </si>
  <si>
    <t>МО "Купчино"</t>
  </si>
  <si>
    <t xml:space="preserve">Будапештская </t>
  </si>
  <si>
    <t>УК</t>
  </si>
  <si>
    <t>МКД</t>
  </si>
  <si>
    <t>Кирпично-монолитный</t>
  </si>
  <si>
    <t>1-528-КП-40</t>
  </si>
  <si>
    <t>1-ЛГ-528-КП-40</t>
  </si>
  <si>
    <t>1-ЛГ-502-9</t>
  </si>
  <si>
    <t>керамзито-бетоннные  панели</t>
  </si>
  <si>
    <t>1-ЛГ-507-6</t>
  </si>
  <si>
    <t>1-ЛГ-602-В--9</t>
  </si>
  <si>
    <t>1-ЛГ-502-6</t>
  </si>
  <si>
    <t>528-КП-40</t>
  </si>
  <si>
    <t>общежитие</t>
  </si>
  <si>
    <t>1-447с-54</t>
  </si>
  <si>
    <t xml:space="preserve">Купчинская </t>
  </si>
  <si>
    <t>1-447с-53</t>
  </si>
  <si>
    <t>инд.проект</t>
  </si>
  <si>
    <t xml:space="preserve">пр. Славы </t>
  </si>
  <si>
    <t xml:space="preserve">Турку </t>
  </si>
  <si>
    <t>1-ЛГ-602-В-6-9</t>
  </si>
  <si>
    <t>итп</t>
  </si>
  <si>
    <t>мкд</t>
  </si>
  <si>
    <t>цтп</t>
  </si>
  <si>
    <t>ОАО"ХЭУ"</t>
  </si>
  <si>
    <t>Силовая нагрузка**</t>
  </si>
  <si>
    <t>НББ-64</t>
  </si>
  <si>
    <t>луч-220</t>
  </si>
  <si>
    <t>1-507</t>
  </si>
  <si>
    <t>1-528КП-40</t>
  </si>
  <si>
    <t>1-528КП-41</t>
  </si>
  <si>
    <t>МО "Георгиевский"</t>
  </si>
  <si>
    <t>Белградская ул.</t>
  </si>
  <si>
    <t>Хрущевка</t>
  </si>
  <si>
    <t>МО "Балканский"</t>
  </si>
  <si>
    <t>Будапештская ул.</t>
  </si>
  <si>
    <t>103/49</t>
  </si>
  <si>
    <t>организация с гос.участием</t>
  </si>
  <si>
    <t>Кирпичные</t>
  </si>
  <si>
    <t>602 (1-ЛГ-602)</t>
  </si>
  <si>
    <t>606 (1-ЛГ-606)</t>
  </si>
  <si>
    <t>Железобетонные</t>
  </si>
  <si>
    <t>МО №75</t>
  </si>
  <si>
    <t>Бухарестская ул.</t>
  </si>
  <si>
    <t>на сцепку</t>
  </si>
  <si>
    <t xml:space="preserve">Железобетонные </t>
  </si>
  <si>
    <t>МО "Волковское"</t>
  </si>
  <si>
    <t>1лг504-3</t>
  </si>
  <si>
    <t>1ЛГ502-В-6</t>
  </si>
  <si>
    <t>МО №72</t>
  </si>
  <si>
    <t>600 (1-ЛГ-600)</t>
  </si>
  <si>
    <t xml:space="preserve">Бухарестская ул. </t>
  </si>
  <si>
    <t>частием</t>
  </si>
  <si>
    <t xml:space="preserve">Дунайский пр. </t>
  </si>
  <si>
    <t>Дунайский пр.</t>
  </si>
  <si>
    <t>49/126</t>
  </si>
  <si>
    <t xml:space="preserve">Загребский бульвар </t>
  </si>
  <si>
    <t xml:space="preserve">Купчинская ул </t>
  </si>
  <si>
    <t>на сцепке/общежитие</t>
  </si>
  <si>
    <t xml:space="preserve">М.Балканская ул. </t>
  </si>
  <si>
    <t>Малая Бухарестская ул.</t>
  </si>
  <si>
    <t>11/60</t>
  </si>
  <si>
    <t xml:space="preserve">Малая Бухарестская ул. </t>
  </si>
  <si>
    <t xml:space="preserve">Малая Карпатская ул. </t>
  </si>
  <si>
    <t xml:space="preserve">Моравский пер. </t>
  </si>
  <si>
    <t xml:space="preserve">пр.Славы </t>
  </si>
  <si>
    <t>1ЛГ502-В-9</t>
  </si>
  <si>
    <t>лг-502-6</t>
  </si>
  <si>
    <t>лг-502-9</t>
  </si>
  <si>
    <t xml:space="preserve">Пражская ул. </t>
  </si>
  <si>
    <t>Г-24</t>
  </si>
  <si>
    <t xml:space="preserve">Панельные </t>
  </si>
  <si>
    <t>504-Д</t>
  </si>
  <si>
    <t xml:space="preserve">Софийская ул. </t>
  </si>
  <si>
    <t>1-528КП-80</t>
  </si>
  <si>
    <t xml:space="preserve">Кирпичные </t>
  </si>
  <si>
    <t>13/14</t>
  </si>
  <si>
    <t xml:space="preserve">ул.Белы Куна </t>
  </si>
  <si>
    <t>Г-ЗИ</t>
  </si>
  <si>
    <t>Г-ЗИГ</t>
  </si>
  <si>
    <t>Г--ЗИ</t>
  </si>
  <si>
    <t xml:space="preserve">ул.Димитрова </t>
  </si>
  <si>
    <t xml:space="preserve">ул.О.Дундича </t>
  </si>
  <si>
    <t xml:space="preserve">на сцепке </t>
  </si>
  <si>
    <t xml:space="preserve">на сцепке  </t>
  </si>
  <si>
    <t xml:space="preserve">ул.Турку </t>
  </si>
  <si>
    <t>ЖСК</t>
  </si>
  <si>
    <t>5733/14-111</t>
  </si>
  <si>
    <t xml:space="preserve">ул.Я.Гашека </t>
  </si>
  <si>
    <t>ул.Я.Гашека</t>
  </si>
  <si>
    <t>30/5</t>
  </si>
  <si>
    <t xml:space="preserve">Фарфоровский пост </t>
  </si>
  <si>
    <t>другое</t>
  </si>
  <si>
    <t>Блочные</t>
  </si>
  <si>
    <t xml:space="preserve">Другое </t>
  </si>
  <si>
    <t xml:space="preserve">Южное шоссе </t>
  </si>
  <si>
    <t>Открытое акционерное общество "Теплосеть Санкт-Петербурга"</t>
  </si>
  <si>
    <t>ТСЖ «Белградская 46»</t>
  </si>
  <si>
    <t>Двухтрубная</t>
  </si>
  <si>
    <t>150/70</t>
  </si>
  <si>
    <t>С 01.07.2013г. Перешел в "ЖКС №2 Фрунзенского района"</t>
  </si>
  <si>
    <t>разгружен</t>
  </si>
  <si>
    <t>Государственное унитарное предприятие "Топливно-энергетический комплекс Санкт-Петербурга"</t>
  </si>
  <si>
    <t>Общество с Ограниченной Ответственностью "Жилкомсервис №2 Фрунзенского района"</t>
  </si>
  <si>
    <t>4х трубная</t>
  </si>
  <si>
    <t>-</t>
  </si>
  <si>
    <t>Открытое Аукционерное Общество"Теплосеть Санкт-Петербурга"</t>
  </si>
  <si>
    <t>2х трубная</t>
  </si>
  <si>
    <t>Общество с ограниченной ответственностью"Жилищно-коммунальный сервис №2 Фрунзенского района"</t>
  </si>
  <si>
    <t>С 01.07.2012г. Перешел в 3-ю форму в "ЖКС №2 Фрунзенского района" от сторонней организации</t>
  </si>
  <si>
    <t>Р</t>
  </si>
  <si>
    <t>3х трубная</t>
  </si>
  <si>
    <t>Трехтрубная</t>
  </si>
  <si>
    <t>150/75</t>
  </si>
  <si>
    <t>ТСЖ "Бухарестская 120/1"</t>
  </si>
  <si>
    <t>отсутствует тех. возможность установки УУТЭ на ГВС. ТСЖ «Бухарестская 120/1» с 01.09.2011г.</t>
  </si>
  <si>
    <t>отсутствует тех. возможность установки УУТЭ на ГВС</t>
  </si>
  <si>
    <t>Дср</t>
  </si>
  <si>
    <t>ТСЖ «Бухарестская 39/1» переведен в 3Ф с 01.02.2013г.</t>
  </si>
  <si>
    <t>С 01.11.2011г. Перешел в 3-ю форму в "ЖКС №2 Фрунзенского района" от сторонней организации</t>
  </si>
  <si>
    <t>ТСЖ «Бухарестская 78»</t>
  </si>
  <si>
    <t>ТСЖ «Бухарестская улица  дом 86/1»</t>
  </si>
  <si>
    <t>ТСЖ «Бухарестская 86-3» с 15.04.2011г. Ушел в другую обслуживающую организацию, с 01.11.13г. Перешел в 3-ю форму в "ЖКС №2 Фрунзенского района"</t>
  </si>
  <si>
    <t>ТСЖ Бухарестская д. 94, к. 1 с 01.03.2012г. перев. в 3ф.</t>
  </si>
  <si>
    <t>ТСЖ «Бухарестская улица  дом 94/4»</t>
  </si>
  <si>
    <t>сцепка с ГОУ НПО ПЛПМ СПб, учебный корпус Дунайский 49/126</t>
  </si>
  <si>
    <t>ТСЖ Дунайский пр. д. 53 к. 2 переведен из ТСЖ в 3 ф с 01.11.2012г. (с 01.09. по 31.10.2012 был в ООО «УК«Уютный дом»).</t>
  </si>
  <si>
    <t>С 01.01.2012г.  Перешел в 3-ю форму в "ЖКС №2 Фрунзенского района" от сторонней организации</t>
  </si>
  <si>
    <t>Открытое Акционерное Общество "Российские Железные Дороги"</t>
  </si>
  <si>
    <t>Купчинская 5/2 является субабонентом у ж/д, находящимся на обслуживании у ОАО "РЖД". Купчинская ул. д. 5 корп. 2 (после конкурса от 27.01.2012г.), передан с 01.03. 2012г.</t>
  </si>
  <si>
    <t>С 01.10.2011г. Перешел в 3-ю форму в "ЖКС №2 Фрунзенского района" от сторонней организации</t>
  </si>
  <si>
    <t>ТСЖ «Малая Балканская 58» переведен в 3Ф с 01.01.2013г.</t>
  </si>
  <si>
    <t>ТСЖ «Малая Бухарестская 11/60»</t>
  </si>
  <si>
    <t>УУТЭ на ГВС установлен и принят в коммерческий учет 05.12.2013г.</t>
  </si>
  <si>
    <t>Д+Р</t>
  </si>
  <si>
    <t>130/70</t>
  </si>
  <si>
    <t>ТСЖ М Карпатская д.15 с 01.03.2012г. перев. в 3ф.</t>
  </si>
  <si>
    <t>Нет технической возможности  установки узла учета на ГВС. ТСЖ «Малая Карпатская 21» перев. в 3ф с 01.08.2012г.</t>
  </si>
  <si>
    <t>Нет технической возможности на установку узла учета на ГВС . ТСЖ «Малая Карпатская 23/1»  перев. в 3 ф с 01.12.2012г.</t>
  </si>
  <si>
    <t>Нет технической возможности  установки узла учета на ГВС. ТСЖ «Моравский 7/1» перев. в 3 ф с 01.09.2012г.</t>
  </si>
  <si>
    <t>ТСЖ «Славы 40/3» переведен в 3Ф с 01.01.2013г.</t>
  </si>
  <si>
    <t>С 01.09.13г. Перешел в 3-ю форму в "ЖКС №2 Фрунзенского района" от сторонней организации</t>
  </si>
  <si>
    <t>ТСЖ «Пражская 16» в стадии ликвидации, переведен в 3Ф с 01.05.2014г.</t>
  </si>
  <si>
    <t>Пражская 17-1 с 01.01.2012г. перев. в 3ф.</t>
  </si>
  <si>
    <t xml:space="preserve">ТСЖ «Пражская 7/1» перев. в 3 ф с 01.09.2012г. </t>
  </si>
  <si>
    <t>ТСЖ «Пражская 7/3» в стадии ликвидации, переведен в 3Ф с 01.04.2014г.</t>
  </si>
  <si>
    <t>в управлении Общества с дек.2011г., с 01.05.12 в 3 ф.</t>
  </si>
  <si>
    <t>ТСЖ «Софийская, 37-1»</t>
  </si>
  <si>
    <t>ТСЖ «Софийская 37/4» перев. в 3ф с 01.05.2012г</t>
  </si>
  <si>
    <t>Независимая</t>
  </si>
  <si>
    <t>МКД перешел от сторонней орг-ции в ЖКС №2 Фрун.района с 01.03.12 в 3ф.</t>
  </si>
  <si>
    <t>ТСЖ  «Белы Куна 10» с 01.01.2012г. перев. в 3ф.</t>
  </si>
  <si>
    <t>ТСЖ «Белы Куна 11/2»</t>
  </si>
  <si>
    <t>ТСЖ «Улица Белы Куна дом 13 корпус 1»</t>
  </si>
  <si>
    <t>ТСЖ "Белы Куна 13/4"</t>
  </si>
  <si>
    <t>С 01.03.2012г. Перешел в 3-ю форму в "ЖКС №2 Фрунзенского района" от сторонней организации</t>
  </si>
  <si>
    <t>ул. Б Куна 15-4 с 01.01.2012г. перев. в 3ф.</t>
  </si>
  <si>
    <t>ТСЖ "Белы Куна 21/1"</t>
  </si>
  <si>
    <t>ТСЖ «Улица Белы Куна дом 22 корпус 1»</t>
  </si>
  <si>
    <t>ТСЖ «Димитрова 29/1» в стадии ликвидации, переведен в 3Ф с 01.01.2013г.</t>
  </si>
  <si>
    <t>ТСЖ«Олеко Дундича 35/1»</t>
  </si>
  <si>
    <t>ТСЖ "Олеко Дундича д.35 к.3"</t>
  </si>
  <si>
    <t>Нет технической возможности  установки узла учета на ГВС. с 01.08.12 в 3ф</t>
  </si>
  <si>
    <t>ТСЖ «Турку 20/1» переведен в 3Ф с 01.02.2013г.</t>
  </si>
  <si>
    <t>ТСЖ Турку 23-1 с 01.03.2012г. перев. в 3ф.</t>
  </si>
  <si>
    <t>ул. Турку, д. 28, корп. 3 принят по 3 ф на обслуживание с 01.09.2012г. от сторонней организации</t>
  </si>
  <si>
    <t>ТСЖ «Ярослава Гашека 30/5»</t>
  </si>
  <si>
    <t>Государственное унитарное предприятие «Топливно-энергетический комплекс Санкт-Петербурга»</t>
  </si>
  <si>
    <t>сцепка с Фарфоровским постом д. 4</t>
  </si>
  <si>
    <t>отсутствут техническая возможность установки УУТЭ</t>
  </si>
  <si>
    <t>является субабонентом Фафоровского поста д. 2</t>
  </si>
  <si>
    <t>нагрузка менее 0.2 Гкал</t>
  </si>
  <si>
    <t>Зависимая,через элеватор</t>
  </si>
  <si>
    <t>ОАО "Ленэнерго"</t>
  </si>
  <si>
    <t>ТСЖ "Белградская 46"</t>
  </si>
  <si>
    <t>НББ,ПСХ,ЛСП1*18</t>
  </si>
  <si>
    <t>д</t>
  </si>
  <si>
    <t>ООО "ЖКС № 2 Фрунзенского района"</t>
  </si>
  <si>
    <t>ПСХ,ЛСП1*18,ЛСП1*36</t>
  </si>
  <si>
    <t>НББ,ПСХ</t>
  </si>
  <si>
    <t>Леда,Блюз</t>
  </si>
  <si>
    <t>НПП,ПСх,ЛСП1*18</t>
  </si>
  <si>
    <t>НББ,НСП</t>
  </si>
  <si>
    <t>НББ,НСП,ЛСП1*36</t>
  </si>
  <si>
    <t>Блюз,Леда</t>
  </si>
  <si>
    <t>Консул</t>
  </si>
  <si>
    <t>РКУ250</t>
  </si>
  <si>
    <t>Консул,РКУ250</t>
  </si>
  <si>
    <t>НББ,ПСХ,НСП,ЛСП1*18</t>
  </si>
  <si>
    <t>ТСЖ "Бухарестская 120"</t>
  </si>
  <si>
    <t>НББ,ПСХ,НСП,ЛСП1*36</t>
  </si>
  <si>
    <t>НББ,ПСХ,НСП</t>
  </si>
  <si>
    <t>НББ,ПСХ,НПП,ЛСП1*18</t>
  </si>
  <si>
    <t>РКУ400</t>
  </si>
  <si>
    <t>НББ,НПП,НСП,ЛСП1*18</t>
  </si>
  <si>
    <t>НПП,НСП,ЛСП1*18</t>
  </si>
  <si>
    <t>НББ,НПП,ПСХ</t>
  </si>
  <si>
    <t>НСП,НББ</t>
  </si>
  <si>
    <t>Блюз,Леда,ПСХ</t>
  </si>
  <si>
    <t>ТСЖ "Бухарестская 78"</t>
  </si>
  <si>
    <t>НББ,ПСХ,НПП</t>
  </si>
  <si>
    <t>ТСЖ "Бухарестская 86/1"</t>
  </si>
  <si>
    <t>НСП,НББ,ЛСП1*18</t>
  </si>
  <si>
    <t>ТСЖ "Бухарестская 94/4"</t>
  </si>
  <si>
    <t>НСП,ПСХ,ЛСП1*18</t>
  </si>
  <si>
    <t>НПП,НББ,ПСХ</t>
  </si>
  <si>
    <t>ПСХ,ЛСП1*18</t>
  </si>
  <si>
    <t>ЛСП1*18,ПСХ</t>
  </si>
  <si>
    <t>ТСЖ "Малая Бухарестская 11/60"</t>
  </si>
  <si>
    <t>НББ,ПСХ,НПП,НСП</t>
  </si>
  <si>
    <t>НББ,НСП,НПП,ЛСП1*18</t>
  </si>
  <si>
    <t>FRO-01</t>
  </si>
  <si>
    <t>НББ,НПП,ЛСП1*18</t>
  </si>
  <si>
    <t>ТСЖ "Пражская 16"</t>
  </si>
  <si>
    <t>НПП,ПСХ</t>
  </si>
  <si>
    <t>Леда.Блюз</t>
  </si>
  <si>
    <t>ТСЖ "Пражская 7/3"</t>
  </si>
  <si>
    <t>НББ,ЕСХ,НСП</t>
  </si>
  <si>
    <t>ТСЖ "Софийская 37-1"</t>
  </si>
  <si>
    <t>НББ,НПП,ЛСП1*36</t>
  </si>
  <si>
    <t>НББ,НСП,ЛСП1*18</t>
  </si>
  <si>
    <t>НББ,ЛСП1*18</t>
  </si>
  <si>
    <t>ТСЖ "Белы Куна 11/2"</t>
  </si>
  <si>
    <t>ТСЖ "Белы Куна 13-1"</t>
  </si>
  <si>
    <t>ТСЖ "Белы Куна 13-4"</t>
  </si>
  <si>
    <t>НББ,ПСХ,Блюз</t>
  </si>
  <si>
    <t>ПСХSAVE1400</t>
  </si>
  <si>
    <t>ПСХ,НПП,ЛСП1*18</t>
  </si>
  <si>
    <t>НББ,НПП,ПСх,ЛСП1*18</t>
  </si>
  <si>
    <t>ТСЖ "Белы Куна 21-1"</t>
  </si>
  <si>
    <t>ТСЖ "Белы Куна 22-1"</t>
  </si>
  <si>
    <t>ТСЖ "Олеко Дундича 35/1"</t>
  </si>
  <si>
    <t>НББ,ПСХ,SAVE-1400</t>
  </si>
  <si>
    <t>ТСЖ "Олеко Дундича 35/3"</t>
  </si>
  <si>
    <t>ПСЗ,НББ,НПП,ЛСП1*18</t>
  </si>
  <si>
    <t>ТСЖ "Турку 15 к.2"</t>
  </si>
  <si>
    <t>ЖСК № 432</t>
  </si>
  <si>
    <t xml:space="preserve">НПП,НСП </t>
  </si>
  <si>
    <t xml:space="preserve">НББ,ПСХ </t>
  </si>
  <si>
    <t>ТСЖ " Ярослава Гашека 30/5"</t>
  </si>
  <si>
    <t>ООО "РУСЭНЕРГОСБЫТ"</t>
  </si>
  <si>
    <t>17_000002</t>
  </si>
  <si>
    <t>17_000003</t>
  </si>
  <si>
    <t>17_000004</t>
  </si>
  <si>
    <t>17_000005</t>
  </si>
  <si>
    <t>17_000006</t>
  </si>
  <si>
    <t>17_000007</t>
  </si>
  <si>
    <t>17_000008</t>
  </si>
  <si>
    <t>17_000009</t>
  </si>
  <si>
    <t>17_000010</t>
  </si>
  <si>
    <t>17_000011</t>
  </si>
  <si>
    <t>17_000012</t>
  </si>
  <si>
    <t>17_000013</t>
  </si>
  <si>
    <t>17_000014</t>
  </si>
  <si>
    <t>17_000015</t>
  </si>
  <si>
    <t>17_000016</t>
  </si>
  <si>
    <t>17_000017</t>
  </si>
  <si>
    <t>17_000018</t>
  </si>
  <si>
    <t>17_000019</t>
  </si>
  <si>
    <t>17_000020</t>
  </si>
  <si>
    <t>17_000021</t>
  </si>
  <si>
    <t>17_000022</t>
  </si>
  <si>
    <t>17_000023</t>
  </si>
  <si>
    <t>17_000024</t>
  </si>
  <si>
    <t>17_000025</t>
  </si>
  <si>
    <t>17_000026</t>
  </si>
  <si>
    <t>17_000027</t>
  </si>
  <si>
    <t>17_000028</t>
  </si>
  <si>
    <t>17_000029</t>
  </si>
  <si>
    <t>17_000030</t>
  </si>
  <si>
    <t>17_000031</t>
  </si>
  <si>
    <t>17_000032</t>
  </si>
  <si>
    <t>17_000033</t>
  </si>
  <si>
    <t>17_000034</t>
  </si>
  <si>
    <t>17_000035</t>
  </si>
  <si>
    <t>17_000036</t>
  </si>
  <si>
    <t>17_000037</t>
  </si>
  <si>
    <t>17_000038</t>
  </si>
  <si>
    <t>17_000039</t>
  </si>
  <si>
    <t>17_000040</t>
  </si>
  <si>
    <t>17_000041</t>
  </si>
  <si>
    <t>17_000042</t>
  </si>
  <si>
    <t>17_000043</t>
  </si>
  <si>
    <t>17_000044</t>
  </si>
  <si>
    <t>17_000045</t>
  </si>
  <si>
    <t>17_000046</t>
  </si>
  <si>
    <t>17_000047</t>
  </si>
  <si>
    <t>17_000048</t>
  </si>
  <si>
    <t>17_000049</t>
  </si>
  <si>
    <t>17_000050</t>
  </si>
  <si>
    <t>17_000051</t>
  </si>
  <si>
    <t>17_000052</t>
  </si>
  <si>
    <t>17_000053</t>
  </si>
  <si>
    <t>17_000054</t>
  </si>
  <si>
    <t>17_000055</t>
  </si>
  <si>
    <t>17_000056</t>
  </si>
  <si>
    <t>17_000057</t>
  </si>
  <si>
    <t>17_000058</t>
  </si>
  <si>
    <t>17_000059</t>
  </si>
  <si>
    <t>17_000060</t>
  </si>
  <si>
    <t>17_000061</t>
  </si>
  <si>
    <t>17_000062</t>
  </si>
  <si>
    <t>17_000063</t>
  </si>
  <si>
    <t>17_000064</t>
  </si>
  <si>
    <t>17_000065</t>
  </si>
  <si>
    <t>17_000066</t>
  </si>
  <si>
    <t>17_000067</t>
  </si>
  <si>
    <t>17_000068</t>
  </si>
  <si>
    <t>17_000069</t>
  </si>
  <si>
    <t>17_000070</t>
  </si>
  <si>
    <t>17_000071</t>
  </si>
  <si>
    <t>17_000072</t>
  </si>
  <si>
    <t>17_000073</t>
  </si>
  <si>
    <t>17_000074</t>
  </si>
  <si>
    <t>17_000075</t>
  </si>
  <si>
    <t>17_000076</t>
  </si>
  <si>
    <t>17_000077</t>
  </si>
  <si>
    <t>17_000078</t>
  </si>
  <si>
    <t>17_000079</t>
  </si>
  <si>
    <t>17_000080</t>
  </si>
  <si>
    <t>17_000081</t>
  </si>
  <si>
    <t>17_000082</t>
  </si>
  <si>
    <t>17_000083</t>
  </si>
  <si>
    <t>17_000084</t>
  </si>
  <si>
    <t>17_000085</t>
  </si>
  <si>
    <t>17_000086</t>
  </si>
  <si>
    <t>17_000087</t>
  </si>
  <si>
    <t>17_000088</t>
  </si>
  <si>
    <t>17_000089</t>
  </si>
  <si>
    <t>17_000090</t>
  </si>
  <si>
    <t>17_000091</t>
  </si>
  <si>
    <t>17_000092</t>
  </si>
  <si>
    <t>17_000093</t>
  </si>
  <si>
    <t>17_000094</t>
  </si>
  <si>
    <t>17_000095</t>
  </si>
  <si>
    <t>17_000096</t>
  </si>
  <si>
    <t>17_000097</t>
  </si>
  <si>
    <t>17_000098</t>
  </si>
  <si>
    <t>17_000099</t>
  </si>
  <si>
    <t>17_000100</t>
  </si>
  <si>
    <t>17_000101</t>
  </si>
  <si>
    <t>17_000102</t>
  </si>
  <si>
    <t>17_000103</t>
  </si>
  <si>
    <t>17_000104</t>
  </si>
  <si>
    <t>17_000105</t>
  </si>
  <si>
    <t>17_000106</t>
  </si>
  <si>
    <t>17_000107</t>
  </si>
  <si>
    <t>17_000108</t>
  </si>
  <si>
    <t>17_000109</t>
  </si>
  <si>
    <t>17_000110</t>
  </si>
  <si>
    <t>17_000111</t>
  </si>
  <si>
    <t>17_000112</t>
  </si>
  <si>
    <t>17_000113</t>
  </si>
  <si>
    <t>17_000114</t>
  </si>
  <si>
    <t>17_000115</t>
  </si>
  <si>
    <t>17_000116</t>
  </si>
  <si>
    <t>17_000117</t>
  </si>
  <si>
    <t>17_000118</t>
  </si>
  <si>
    <t>17_000119</t>
  </si>
  <si>
    <t>17_000120</t>
  </si>
  <si>
    <t>17_000121</t>
  </si>
  <si>
    <t>17_000122</t>
  </si>
  <si>
    <t>17_000123</t>
  </si>
  <si>
    <t>17_000124</t>
  </si>
  <si>
    <t>17_000125</t>
  </si>
  <si>
    <t>17_000126</t>
  </si>
  <si>
    <t>17_000127</t>
  </si>
  <si>
    <t>17_000128</t>
  </si>
  <si>
    <t>17_000129</t>
  </si>
  <si>
    <t>17_000130</t>
  </si>
  <si>
    <t>17_000131</t>
  </si>
  <si>
    <t>17_000132</t>
  </si>
  <si>
    <t>17_000133</t>
  </si>
  <si>
    <t>17_000134</t>
  </si>
  <si>
    <t>17_000135</t>
  </si>
  <si>
    <t>17_000136</t>
  </si>
  <si>
    <t>17_000137</t>
  </si>
  <si>
    <t>17_000138</t>
  </si>
  <si>
    <t>17_000139</t>
  </si>
  <si>
    <t>17_000140</t>
  </si>
  <si>
    <t>17_000141</t>
  </si>
  <si>
    <t>17_000142</t>
  </si>
  <si>
    <t>17_000143</t>
  </si>
  <si>
    <t>17_000144</t>
  </si>
  <si>
    <t>17_000145</t>
  </si>
  <si>
    <t>17_000146</t>
  </si>
  <si>
    <t>17_000147</t>
  </si>
  <si>
    <t>17_000148</t>
  </si>
  <si>
    <t>17_000149</t>
  </si>
  <si>
    <t>17_000150</t>
  </si>
  <si>
    <t>17_000151</t>
  </si>
  <si>
    <t>17_000152</t>
  </si>
  <si>
    <t>17_000153</t>
  </si>
  <si>
    <t>17_000154</t>
  </si>
  <si>
    <t>17_000155</t>
  </si>
  <si>
    <t>17_000156</t>
  </si>
  <si>
    <t>17_000157</t>
  </si>
  <si>
    <t>17_000158</t>
  </si>
  <si>
    <t>17_000159</t>
  </si>
  <si>
    <t>17_000160</t>
  </si>
  <si>
    <t>17_000161</t>
  </si>
  <si>
    <t>17_000162</t>
  </si>
  <si>
    <t>17_000163</t>
  </si>
  <si>
    <t>17_000164</t>
  </si>
  <si>
    <t>17_000165</t>
  </si>
  <si>
    <t>17_000166</t>
  </si>
  <si>
    <t>17_000167</t>
  </si>
  <si>
    <t>17_000168</t>
  </si>
  <si>
    <t>17_000169</t>
  </si>
  <si>
    <t>17_000170</t>
  </si>
  <si>
    <t>17_000171</t>
  </si>
  <si>
    <t>17_000172</t>
  </si>
  <si>
    <t>17_000173</t>
  </si>
  <si>
    <t>17_000174</t>
  </si>
  <si>
    <t>17_000175</t>
  </si>
  <si>
    <t>17_000176</t>
  </si>
  <si>
    <t>17_000177</t>
  </si>
  <si>
    <t>17_000178</t>
  </si>
  <si>
    <t>17_000179</t>
  </si>
  <si>
    <t>17_000180</t>
  </si>
  <si>
    <t>17_000181</t>
  </si>
  <si>
    <t>17_000182</t>
  </si>
  <si>
    <t>17_000183</t>
  </si>
  <si>
    <t>17_000184</t>
  </si>
  <si>
    <t>17_000185</t>
  </si>
  <si>
    <t>17_000186</t>
  </si>
  <si>
    <t>17_000187</t>
  </si>
  <si>
    <t>17_000188</t>
  </si>
  <si>
    <t>17_000189</t>
  </si>
  <si>
    <t>17_000190</t>
  </si>
  <si>
    <t>17_000191</t>
  </si>
  <si>
    <t>17_000192</t>
  </si>
  <si>
    <t>17_000193</t>
  </si>
  <si>
    <t>17_000194</t>
  </si>
  <si>
    <t>17_000195</t>
  </si>
  <si>
    <t>17_000196</t>
  </si>
  <si>
    <t>17_000197</t>
  </si>
  <si>
    <t>17_000198</t>
  </si>
  <si>
    <t>17_000199</t>
  </si>
  <si>
    <t>17_000200</t>
  </si>
  <si>
    <t>17_000201</t>
  </si>
  <si>
    <t>17_000202</t>
  </si>
  <si>
    <t>17_000203</t>
  </si>
  <si>
    <t>17_000204</t>
  </si>
  <si>
    <t>17_000205</t>
  </si>
  <si>
    <t>17_000206</t>
  </si>
  <si>
    <t>17_000207</t>
  </si>
  <si>
    <t>17_000208</t>
  </si>
  <si>
    <t>17_000209</t>
  </si>
  <si>
    <t>17_000210</t>
  </si>
  <si>
    <t>17_000211</t>
  </si>
  <si>
    <t>17_000212</t>
  </si>
  <si>
    <t>17_000213</t>
  </si>
  <si>
    <t>17_000214</t>
  </si>
  <si>
    <t>17_000215</t>
  </si>
  <si>
    <t>17_000216</t>
  </si>
  <si>
    <t>17_000217</t>
  </si>
  <si>
    <t>17_000218</t>
  </si>
  <si>
    <t>17_000219</t>
  </si>
  <si>
    <t>МО72</t>
  </si>
  <si>
    <t>Белы Куна</t>
  </si>
  <si>
    <t>литера А</t>
  </si>
  <si>
    <t>жилой</t>
  </si>
  <si>
    <t>17_000220</t>
  </si>
  <si>
    <t>17_000221</t>
  </si>
  <si>
    <t>ОАО "ТГК-1"</t>
  </si>
  <si>
    <t>ТСЖ "Белы куна 27-1"</t>
  </si>
  <si>
    <t>2х89х4,5</t>
  </si>
  <si>
    <t>1,16Гкал/ч</t>
  </si>
  <si>
    <t>УУТЭ</t>
  </si>
  <si>
    <t>ПСК</t>
  </si>
  <si>
    <t>ТСЖ"Белы Куна 27-1"</t>
  </si>
  <si>
    <t>ЛББ, СХ</t>
  </si>
  <si>
    <t>ЛББ,ДРЛ</t>
  </si>
  <si>
    <t xml:space="preserve">Будапештская   </t>
  </si>
  <si>
    <t>1-528КП-82-1</t>
  </si>
  <si>
    <t>кирпич-ные</t>
  </si>
  <si>
    <t>2494.4</t>
  </si>
  <si>
    <t>ы</t>
  </si>
  <si>
    <t>ОАО    "ТГК-1"</t>
  </si>
  <si>
    <t>ТСЖ         "Будапештская  108/2"</t>
  </si>
  <si>
    <t>29.23</t>
  </si>
  <si>
    <t>34б62</t>
  </si>
  <si>
    <t>90-70</t>
  </si>
  <si>
    <t>ООО "Петербургская сбытовая компания"</t>
  </si>
  <si>
    <t xml:space="preserve">  ТСЖ                     "Будапештская      108/2"  </t>
  </si>
  <si>
    <t>28.З2</t>
  </si>
  <si>
    <t>пр. Славы</t>
  </si>
  <si>
    <t>602(1-ЛГ-602)</t>
  </si>
  <si>
    <t>Софийская ул.</t>
  </si>
  <si>
    <t>602(1-ЛГ-602</t>
  </si>
  <si>
    <t>Частная управляющая организация</t>
  </si>
  <si>
    <t>602(1_ЛГ-602</t>
  </si>
  <si>
    <t>ул.Белы Куна</t>
  </si>
  <si>
    <t>ул.Турку</t>
  </si>
  <si>
    <t>Южное шоссе</t>
  </si>
  <si>
    <t>Индивидуальный</t>
  </si>
  <si>
    <t>17_000222</t>
  </si>
  <si>
    <t>17_000223</t>
  </si>
  <si>
    <t>17_000224</t>
  </si>
  <si>
    <t>17_000225</t>
  </si>
  <si>
    <t>17_000226</t>
  </si>
  <si>
    <t>17_000227</t>
  </si>
  <si>
    <t>17_000228</t>
  </si>
  <si>
    <t>17_000229</t>
  </si>
  <si>
    <t>17_000230</t>
  </si>
  <si>
    <t>17_000231</t>
  </si>
  <si>
    <t>17_000232</t>
  </si>
  <si>
    <t>17_000233</t>
  </si>
  <si>
    <t>17_000234</t>
  </si>
  <si>
    <t>17_000235</t>
  </si>
  <si>
    <t>17_000236</t>
  </si>
  <si>
    <t>17_000237</t>
  </si>
  <si>
    <t>17_000238</t>
  </si>
  <si>
    <t>17_000239</t>
  </si>
  <si>
    <t>17_000240</t>
  </si>
  <si>
    <t>17_000241</t>
  </si>
  <si>
    <t>17_000242</t>
  </si>
  <si>
    <t>17_000243</t>
  </si>
  <si>
    <t>17_000244</t>
  </si>
  <si>
    <t>17_000245</t>
  </si>
  <si>
    <t>17_000246</t>
  </si>
  <si>
    <t>17_000247</t>
  </si>
  <si>
    <t>17_000248</t>
  </si>
  <si>
    <t>17_000249</t>
  </si>
  <si>
    <t>17_000250</t>
  </si>
  <si>
    <t>17_000251</t>
  </si>
  <si>
    <t>17_000252</t>
  </si>
  <si>
    <t>17_000253</t>
  </si>
  <si>
    <t>17_000254</t>
  </si>
  <si>
    <t>17_000255</t>
  </si>
  <si>
    <t>17_000256</t>
  </si>
  <si>
    <t>17_000257</t>
  </si>
  <si>
    <t>17_000258</t>
  </si>
  <si>
    <t>17_000259</t>
  </si>
  <si>
    <t>17_000260</t>
  </si>
  <si>
    <t>17_000261</t>
  </si>
  <si>
    <t>17_000262</t>
  </si>
  <si>
    <t>17_000263</t>
  </si>
  <si>
    <t>17_000264</t>
  </si>
  <si>
    <t>17_000265</t>
  </si>
  <si>
    <t>17_000266</t>
  </si>
  <si>
    <t>17_000267</t>
  </si>
  <si>
    <t>17_000268</t>
  </si>
  <si>
    <t>17_000269</t>
  </si>
  <si>
    <t>17_000270</t>
  </si>
  <si>
    <t>17_000271</t>
  </si>
  <si>
    <t>УПО</t>
  </si>
  <si>
    <t>хрущевка</t>
  </si>
  <si>
    <t>1ЛГ502-6</t>
  </si>
  <si>
    <t>панельная</t>
  </si>
  <si>
    <t>ЛГ502-6</t>
  </si>
  <si>
    <t>1ЛГ504Д-10</t>
  </si>
  <si>
    <t>1ЛГ528КП-40</t>
  </si>
  <si>
    <t>кирпичная</t>
  </si>
  <si>
    <t>1ЛГ-602</t>
  </si>
  <si>
    <t>1ЛГ-507-6</t>
  </si>
  <si>
    <t>Т528-КП-41</t>
  </si>
  <si>
    <t>1ЛГ-520-6</t>
  </si>
  <si>
    <t>1ЛГ528КП-3Э2</t>
  </si>
  <si>
    <t>ЛГ-609</t>
  </si>
  <si>
    <t>1ЛГ-602-В-7</t>
  </si>
  <si>
    <t>1Л2-504/Д</t>
  </si>
  <si>
    <t>ЛГ-307</t>
  </si>
  <si>
    <t>дореволюционный фонд, непрошедший ККР</t>
  </si>
  <si>
    <t>дореволюционный фонд, прошедший ККР</t>
  </si>
  <si>
    <t>инд.постр.</t>
  </si>
  <si>
    <t>дп</t>
  </si>
  <si>
    <t>46 а</t>
  </si>
  <si>
    <t>52 А</t>
  </si>
  <si>
    <t>58 Б</t>
  </si>
  <si>
    <t>58 В</t>
  </si>
  <si>
    <t>78 А</t>
  </si>
  <si>
    <t>1ЛГ-602-В-6</t>
  </si>
  <si>
    <t>1ЛГ-507</t>
  </si>
  <si>
    <t>1-528-КП-41</t>
  </si>
  <si>
    <t>1ЛГ528КП40</t>
  </si>
  <si>
    <t>1ЛГ-606-5</t>
  </si>
  <si>
    <t>1ЛГ-504-3</t>
  </si>
  <si>
    <t>ЛГ-602-13-6</t>
  </si>
  <si>
    <t>1ЛГ-602-В</t>
  </si>
  <si>
    <t>ОД</t>
  </si>
  <si>
    <t>1-528КП-2Э</t>
  </si>
  <si>
    <t>ИНД.ПРОЕКТ</t>
  </si>
  <si>
    <t>1ЛГ-507-47</t>
  </si>
  <si>
    <t>сталинка</t>
  </si>
  <si>
    <t>конструктивизм</t>
  </si>
  <si>
    <t>1-305 К-4</t>
  </si>
  <si>
    <t>НЕТ</t>
  </si>
  <si>
    <t>57 АБ</t>
  </si>
  <si>
    <t>ветхий фонд</t>
  </si>
  <si>
    <t>КОРИД.ТИПА</t>
  </si>
  <si>
    <t>Лиг 152</t>
  </si>
  <si>
    <t>160 Б</t>
  </si>
  <si>
    <t>164 А</t>
  </si>
  <si>
    <t>183 А</t>
  </si>
  <si>
    <t>183Г</t>
  </si>
  <si>
    <t>212 А</t>
  </si>
  <si>
    <t>233 А</t>
  </si>
  <si>
    <t>1ЛГ528КП43</t>
  </si>
  <si>
    <t>1ЛГ528КП41</t>
  </si>
  <si>
    <t>10А</t>
  </si>
  <si>
    <t>111-121 ЛО-1</t>
  </si>
  <si>
    <t>1-528 КП-3Б</t>
  </si>
  <si>
    <t>525КП-2Э</t>
  </si>
  <si>
    <t>1-525 КП-2</t>
  </si>
  <si>
    <t>СТАРАЯ ПОСТРОЙКА</t>
  </si>
  <si>
    <t>43 АБ</t>
  </si>
  <si>
    <t>76 АБ</t>
  </si>
  <si>
    <t>1ЛГ-602-В-9</t>
  </si>
  <si>
    <t>1ЛГ-609-49</t>
  </si>
  <si>
    <t>1ЛГ-507-4-Э</t>
  </si>
  <si>
    <t>КП-528-40</t>
  </si>
  <si>
    <t>1ЛГ-509-49</t>
  </si>
  <si>
    <t>1ЛГ504-Д</t>
  </si>
  <si>
    <t>1ЛГ606-4</t>
  </si>
  <si>
    <t>ИНДИВИД.</t>
  </si>
  <si>
    <t>ЛГ-602-В-9</t>
  </si>
  <si>
    <t>ЛГ-602-В-7</t>
  </si>
  <si>
    <t>ЖКС №1</t>
  </si>
  <si>
    <t>ГУП "ТЭК" СПб</t>
  </si>
  <si>
    <t>СтройтехАльянс</t>
  </si>
  <si>
    <t>Пекар</t>
  </si>
  <si>
    <t>22,3,4</t>
  </si>
  <si>
    <t>Терминал</t>
  </si>
  <si>
    <t>17_000272</t>
  </si>
  <si>
    <t>17_000273</t>
  </si>
  <si>
    <t>17_000274</t>
  </si>
  <si>
    <t>17_000275</t>
  </si>
  <si>
    <t>17_000276</t>
  </si>
  <si>
    <t>17_000277</t>
  </si>
  <si>
    <t>17_000278</t>
  </si>
  <si>
    <t>17_000279</t>
  </si>
  <si>
    <t>17_000280</t>
  </si>
  <si>
    <t>17_000281</t>
  </si>
  <si>
    <t>17_000282</t>
  </si>
  <si>
    <t>17_000283</t>
  </si>
  <si>
    <t>17_000284</t>
  </si>
  <si>
    <t>17_000285</t>
  </si>
  <si>
    <t>17_000286</t>
  </si>
  <si>
    <t>17_000287</t>
  </si>
  <si>
    <t>17_000288</t>
  </si>
  <si>
    <t>17_000289</t>
  </si>
  <si>
    <t>17_000290</t>
  </si>
  <si>
    <t>17_000291</t>
  </si>
  <si>
    <t>17_000292</t>
  </si>
  <si>
    <t>17_000293</t>
  </si>
  <si>
    <t>17_000294</t>
  </si>
  <si>
    <t>17_000295</t>
  </si>
  <si>
    <t>17_000296</t>
  </si>
  <si>
    <t>17_000297</t>
  </si>
  <si>
    <t>17_000298</t>
  </si>
  <si>
    <t>17_000299</t>
  </si>
  <si>
    <t>17_000300</t>
  </si>
  <si>
    <t>17_000301</t>
  </si>
  <si>
    <t>17_000302</t>
  </si>
  <si>
    <t>17_000303</t>
  </si>
  <si>
    <t>17_000304</t>
  </si>
  <si>
    <t>17_000305</t>
  </si>
  <si>
    <t>17_000306</t>
  </si>
  <si>
    <t>17_000307</t>
  </si>
  <si>
    <t>17_000308</t>
  </si>
  <si>
    <t>17_000309</t>
  </si>
  <si>
    <t>17_000310</t>
  </si>
  <si>
    <t>17_000311</t>
  </si>
  <si>
    <t>17_000312</t>
  </si>
  <si>
    <t>17_000313</t>
  </si>
  <si>
    <t>17_000314</t>
  </si>
  <si>
    <t>17_000315</t>
  </si>
  <si>
    <t>17_000316</t>
  </si>
  <si>
    <t>17_000317</t>
  </si>
  <si>
    <t>17_000318</t>
  </si>
  <si>
    <t>17_000319</t>
  </si>
  <si>
    <t>17_000320</t>
  </si>
  <si>
    <t>17_000321</t>
  </si>
  <si>
    <t>17_000322</t>
  </si>
  <si>
    <t>17_000323</t>
  </si>
  <si>
    <t>17_000324</t>
  </si>
  <si>
    <t>17_000325</t>
  </si>
  <si>
    <t>17_000326</t>
  </si>
  <si>
    <t>17_000327</t>
  </si>
  <si>
    <t>17_000328</t>
  </si>
  <si>
    <t>17_000329</t>
  </si>
  <si>
    <t>17_000330</t>
  </si>
  <si>
    <t>17_000331</t>
  </si>
  <si>
    <t>17_000332</t>
  </si>
  <si>
    <t>17_000333</t>
  </si>
  <si>
    <t>17_000334</t>
  </si>
  <si>
    <t>17_000335</t>
  </si>
  <si>
    <t>17_000336</t>
  </si>
  <si>
    <t>17_000337</t>
  </si>
  <si>
    <t>17_000338</t>
  </si>
  <si>
    <t>17_000339</t>
  </si>
  <si>
    <t>17_000340</t>
  </si>
  <si>
    <t>17_000341</t>
  </si>
  <si>
    <t>17_000342</t>
  </si>
  <si>
    <t>17_000343</t>
  </si>
  <si>
    <t>17_000344</t>
  </si>
  <si>
    <t>17_000345</t>
  </si>
  <si>
    <t>17_000346</t>
  </si>
  <si>
    <t>17_000347</t>
  </si>
  <si>
    <t>17_000348</t>
  </si>
  <si>
    <t>17_000349</t>
  </si>
  <si>
    <t>17_000350</t>
  </si>
  <si>
    <t>17_000351</t>
  </si>
  <si>
    <t>17_000352</t>
  </si>
  <si>
    <t>17_000353</t>
  </si>
  <si>
    <t>17_000354</t>
  </si>
  <si>
    <t>17_000355</t>
  </si>
  <si>
    <t>17_000356</t>
  </si>
  <si>
    <t>17_000357</t>
  </si>
  <si>
    <t>17_000358</t>
  </si>
  <si>
    <t>17_000359</t>
  </si>
  <si>
    <t>17_000360</t>
  </si>
  <si>
    <t>17_000361</t>
  </si>
  <si>
    <t>17_000362</t>
  </si>
  <si>
    <t>17_000363</t>
  </si>
  <si>
    <t>17_000364</t>
  </si>
  <si>
    <t>17_000365</t>
  </si>
  <si>
    <t>17_000366</t>
  </si>
  <si>
    <t>17_000367</t>
  </si>
  <si>
    <t>17_000368</t>
  </si>
  <si>
    <t>17_000369</t>
  </si>
  <si>
    <t>17_000370</t>
  </si>
  <si>
    <t>17_000371</t>
  </si>
  <si>
    <t>17_000372</t>
  </si>
  <si>
    <t>17_000373</t>
  </si>
  <si>
    <t>17_000374</t>
  </si>
  <si>
    <t>17_000375</t>
  </si>
  <si>
    <t>17_000376</t>
  </si>
  <si>
    <t>17_000377</t>
  </si>
  <si>
    <t>17_000378</t>
  </si>
  <si>
    <t>17_000379</t>
  </si>
  <si>
    <t>17_000380</t>
  </si>
  <si>
    <t>17_000381</t>
  </si>
  <si>
    <t>17_000382</t>
  </si>
  <si>
    <t>17_000383</t>
  </si>
  <si>
    <t>17_000384</t>
  </si>
  <si>
    <t>17_000385</t>
  </si>
  <si>
    <t>17_000386</t>
  </si>
  <si>
    <t>17_000387</t>
  </si>
  <si>
    <t>17_000388</t>
  </si>
  <si>
    <t>17_000389</t>
  </si>
  <si>
    <t>17_000390</t>
  </si>
  <si>
    <t>17_000391</t>
  </si>
  <si>
    <t>17_000392</t>
  </si>
  <si>
    <t>17_000393</t>
  </si>
  <si>
    <t>17_000394</t>
  </si>
  <si>
    <t>17_000395</t>
  </si>
  <si>
    <t>17_000396</t>
  </si>
  <si>
    <t>17_000397</t>
  </si>
  <si>
    <t>17_000398</t>
  </si>
  <si>
    <t>17_000399</t>
  </si>
  <si>
    <t>17_000400</t>
  </si>
  <si>
    <t>17_000401</t>
  </si>
  <si>
    <t>17_000402</t>
  </si>
  <si>
    <t>17_000403</t>
  </si>
  <si>
    <t>17_000404</t>
  </si>
  <si>
    <t>17_000405</t>
  </si>
  <si>
    <t>17_000406</t>
  </si>
  <si>
    <t>17_000407</t>
  </si>
  <si>
    <t>17_000408</t>
  </si>
  <si>
    <t>17_000409</t>
  </si>
  <si>
    <t>17_000410</t>
  </si>
  <si>
    <t>17_000411</t>
  </si>
  <si>
    <t>17_000412</t>
  </si>
  <si>
    <t>17_000413</t>
  </si>
  <si>
    <t>17_000414</t>
  </si>
  <si>
    <t>17_000415</t>
  </si>
  <si>
    <t>17_000416</t>
  </si>
  <si>
    <t>17_000417</t>
  </si>
  <si>
    <t>17_000418</t>
  </si>
  <si>
    <t>17_000419</t>
  </si>
  <si>
    <t>17_000420</t>
  </si>
  <si>
    <t>17_000421</t>
  </si>
  <si>
    <t>17_000422</t>
  </si>
  <si>
    <t>17_000423</t>
  </si>
  <si>
    <t>17_000424</t>
  </si>
  <si>
    <t>17_000425</t>
  </si>
  <si>
    <t>17_000426</t>
  </si>
  <si>
    <t>17_000427</t>
  </si>
  <si>
    <t>17_000428</t>
  </si>
  <si>
    <t>17_000429</t>
  </si>
  <si>
    <t>17_000430</t>
  </si>
  <si>
    <t>17_000431</t>
  </si>
  <si>
    <t>17_000432</t>
  </si>
  <si>
    <t>17_000433</t>
  </si>
  <si>
    <t>17_000434</t>
  </si>
  <si>
    <t>17_000435</t>
  </si>
  <si>
    <t>17_000436</t>
  </si>
  <si>
    <t>17_000437</t>
  </si>
  <si>
    <t>17_000438</t>
  </si>
  <si>
    <t>17_000439</t>
  </si>
  <si>
    <t>17_000440</t>
  </si>
  <si>
    <t>17_000441</t>
  </si>
  <si>
    <t>17_000442</t>
  </si>
  <si>
    <t>17_000443</t>
  </si>
  <si>
    <t>17_000444</t>
  </si>
  <si>
    <t>17_000445</t>
  </si>
  <si>
    <t>17_000446</t>
  </si>
  <si>
    <t>17_000447</t>
  </si>
  <si>
    <t>17_000448</t>
  </si>
  <si>
    <t>17_000449</t>
  </si>
  <si>
    <t>17_000450</t>
  </si>
  <si>
    <t>17_000451</t>
  </si>
  <si>
    <t>17_000452</t>
  </si>
  <si>
    <t>17_000453</t>
  </si>
  <si>
    <t>17_000454</t>
  </si>
  <si>
    <t>17_000455</t>
  </si>
  <si>
    <t>17_000456</t>
  </si>
  <si>
    <t>17_000457</t>
  </si>
  <si>
    <t>17_000458</t>
  </si>
  <si>
    <t>17_000459</t>
  </si>
  <si>
    <t>17_000460</t>
  </si>
  <si>
    <t>17_000461</t>
  </si>
  <si>
    <t>17_000462</t>
  </si>
  <si>
    <t>17_000463</t>
  </si>
  <si>
    <t>17_000464</t>
  </si>
  <si>
    <t>17_000465</t>
  </si>
  <si>
    <t>17_000466</t>
  </si>
  <si>
    <t>17_000467</t>
  </si>
  <si>
    <t>17_000468</t>
  </si>
  <si>
    <t>17_000469</t>
  </si>
  <si>
    <t>17_000470</t>
  </si>
  <si>
    <t>17_000471</t>
  </si>
  <si>
    <t>17_000472</t>
  </si>
  <si>
    <t>17_000473</t>
  </si>
  <si>
    <t>17_000474</t>
  </si>
  <si>
    <t>17_000475</t>
  </si>
  <si>
    <t>17_000476</t>
  </si>
  <si>
    <t>17_000477</t>
  </si>
  <si>
    <t>17_000478</t>
  </si>
  <si>
    <t>17_000479</t>
  </si>
  <si>
    <t>17_000480</t>
  </si>
  <si>
    <t>17_000481</t>
  </si>
  <si>
    <t>17_000482</t>
  </si>
  <si>
    <t>17_000483</t>
  </si>
  <si>
    <t>17_000484</t>
  </si>
  <si>
    <t>17_000485</t>
  </si>
  <si>
    <t>17_000486</t>
  </si>
  <si>
    <t>17_000487</t>
  </si>
  <si>
    <t>17_000488</t>
  </si>
  <si>
    <t>17_000489</t>
  </si>
  <si>
    <t>17_000490</t>
  </si>
  <si>
    <t>17_000491</t>
  </si>
  <si>
    <t>17_000492</t>
  </si>
  <si>
    <t>17_000493</t>
  </si>
  <si>
    <t>17_000494</t>
  </si>
  <si>
    <t>17_000495</t>
  </si>
  <si>
    <t>17_000496</t>
  </si>
  <si>
    <t>17_000497</t>
  </si>
  <si>
    <t>17_000498</t>
  </si>
  <si>
    <t>17_000499</t>
  </si>
  <si>
    <t>17_000500</t>
  </si>
  <si>
    <t>17_000501</t>
  </si>
  <si>
    <t>17_000502</t>
  </si>
  <si>
    <t>17_000503</t>
  </si>
  <si>
    <t>17_000504</t>
  </si>
  <si>
    <t>17_000505</t>
  </si>
  <si>
    <t>17_000506</t>
  </si>
  <si>
    <t>17_000507</t>
  </si>
  <si>
    <t>17_000508</t>
  </si>
  <si>
    <t>17_000509</t>
  </si>
  <si>
    <t>17_000510</t>
  </si>
  <si>
    <t>17_000511</t>
  </si>
  <si>
    <t>17_000512</t>
  </si>
  <si>
    <t>17_000513</t>
  </si>
  <si>
    <t>17_000514</t>
  </si>
  <si>
    <t>17_000515</t>
  </si>
  <si>
    <t>17_000516</t>
  </si>
  <si>
    <t>17_000517</t>
  </si>
  <si>
    <t>17_000518</t>
  </si>
  <si>
    <t>17_000519</t>
  </si>
  <si>
    <t>17_000520</t>
  </si>
  <si>
    <t>17_000521</t>
  </si>
  <si>
    <t>17_000522</t>
  </si>
  <si>
    <t>17_000523</t>
  </si>
  <si>
    <t>17_000524</t>
  </si>
  <si>
    <t>17_000525</t>
  </si>
  <si>
    <t>17_000526</t>
  </si>
  <si>
    <t>17_000527</t>
  </si>
  <si>
    <t>17_000528</t>
  </si>
  <si>
    <t>17_000529</t>
  </si>
  <si>
    <t>17_000530</t>
  </si>
  <si>
    <t>17_000531</t>
  </si>
  <si>
    <t>17_000532</t>
  </si>
  <si>
    <t>17_000533</t>
  </si>
  <si>
    <t>17_000534</t>
  </si>
  <si>
    <t>17_000535</t>
  </si>
  <si>
    <t>17_000536</t>
  </si>
  <si>
    <t>17_000537</t>
  </si>
  <si>
    <t>17_000538</t>
  </si>
  <si>
    <t>17_000539</t>
  </si>
  <si>
    <t>17_000540</t>
  </si>
  <si>
    <t>17_000541</t>
  </si>
  <si>
    <t>17_000542</t>
  </si>
  <si>
    <t>17_000543</t>
  </si>
  <si>
    <t>17_000544</t>
  </si>
  <si>
    <t>17_000545</t>
  </si>
  <si>
    <t>17_000546</t>
  </si>
  <si>
    <t>17_000547</t>
  </si>
  <si>
    <t>17_000548</t>
  </si>
  <si>
    <t>17_000549</t>
  </si>
  <si>
    <t>17_000550</t>
  </si>
  <si>
    <t>17_000551</t>
  </si>
  <si>
    <t>17_000552</t>
  </si>
  <si>
    <t>17_000553</t>
  </si>
  <si>
    <t>17_000554</t>
  </si>
  <si>
    <t>17_000555</t>
  </si>
  <si>
    <t>17_000556</t>
  </si>
  <si>
    <t>17_000557</t>
  </si>
  <si>
    <t>17_000558</t>
  </si>
  <si>
    <t>17_000559</t>
  </si>
  <si>
    <t>17_000560</t>
  </si>
  <si>
    <t>17_000561</t>
  </si>
  <si>
    <t>17_000562</t>
  </si>
  <si>
    <t>17_000563</t>
  </si>
  <si>
    <t>17_000564</t>
  </si>
  <si>
    <t>17_000565</t>
  </si>
  <si>
    <t>17_000566</t>
  </si>
  <si>
    <t>17_000567</t>
  </si>
  <si>
    <t>17_000568</t>
  </si>
  <si>
    <t>17_000569</t>
  </si>
  <si>
    <t>17_000570</t>
  </si>
  <si>
    <t>17_000571</t>
  </si>
  <si>
    <t>17_000572</t>
  </si>
  <si>
    <t>17_000573</t>
  </si>
  <si>
    <t>17_000574</t>
  </si>
  <si>
    <t>17_000575</t>
  </si>
  <si>
    <t>17_000576</t>
  </si>
  <si>
    <t>17_000577</t>
  </si>
  <si>
    <t>17_000578</t>
  </si>
  <si>
    <t>17_000579</t>
  </si>
  <si>
    <t>17_000580</t>
  </si>
  <si>
    <t>17_000581</t>
  </si>
  <si>
    <t>17_000582</t>
  </si>
  <si>
    <t>17_000583</t>
  </si>
  <si>
    <t>17_000584</t>
  </si>
  <si>
    <t>17_000585</t>
  </si>
  <si>
    <t>17_000586</t>
  </si>
  <si>
    <t>17_000587</t>
  </si>
  <si>
    <t>17_000588</t>
  </si>
  <si>
    <t>17_000589</t>
  </si>
  <si>
    <t>17_000590</t>
  </si>
  <si>
    <t>17_000591</t>
  </si>
  <si>
    <t>17_000592</t>
  </si>
  <si>
    <t>17_000593</t>
  </si>
  <si>
    <t>17_000594</t>
  </si>
  <si>
    <t>17_000595</t>
  </si>
  <si>
    <t>17_000596</t>
  </si>
  <si>
    <t>17_000597</t>
  </si>
  <si>
    <t>17_000598</t>
  </si>
  <si>
    <t>17_000599</t>
  </si>
  <si>
    <t>17_000600</t>
  </si>
  <si>
    <t>17_000601</t>
  </si>
  <si>
    <t>17_000602</t>
  </si>
  <si>
    <t>17_000603</t>
  </si>
  <si>
    <t>17_000604</t>
  </si>
  <si>
    <t>17_000605</t>
  </si>
  <si>
    <t>17_000606</t>
  </si>
  <si>
    <t>17_000607</t>
  </si>
  <si>
    <t>17_000608</t>
  </si>
  <si>
    <t>17_000609</t>
  </si>
  <si>
    <t>17_000610</t>
  </si>
  <si>
    <t>17_000611</t>
  </si>
  <si>
    <t>17_000612</t>
  </si>
  <si>
    <t>17_000613</t>
  </si>
  <si>
    <t>17_000614</t>
  </si>
  <si>
    <t>17_000615</t>
  </si>
  <si>
    <t>17_000616</t>
  </si>
  <si>
    <t>17_000617</t>
  </si>
  <si>
    <t>17_000618</t>
  </si>
  <si>
    <t>17_000619</t>
  </si>
  <si>
    <t>17_000620</t>
  </si>
  <si>
    <t>17_000621</t>
  </si>
  <si>
    <t>17_000622</t>
  </si>
  <si>
    <t>17_000623</t>
  </si>
  <si>
    <t>17_000624</t>
  </si>
  <si>
    <t>17_000625</t>
  </si>
  <si>
    <t>17_000626</t>
  </si>
  <si>
    <t>17_000627</t>
  </si>
  <si>
    <t>17_000628</t>
  </si>
  <si>
    <t>17_000629</t>
  </si>
  <si>
    <t>17_000630</t>
  </si>
  <si>
    <t>17_000631</t>
  </si>
  <si>
    <t>17_000632</t>
  </si>
  <si>
    <t>17_000633</t>
  </si>
  <si>
    <t>17_000634</t>
  </si>
  <si>
    <t>17_000635</t>
  </si>
  <si>
    <t>17_000636</t>
  </si>
  <si>
    <t>17_000637</t>
  </si>
  <si>
    <t>17_000638</t>
  </si>
  <si>
    <t>17_000639</t>
  </si>
  <si>
    <t>17_000640</t>
  </si>
  <si>
    <t>17_000641</t>
  </si>
  <si>
    <t>17_000642</t>
  </si>
  <si>
    <t>17_000643</t>
  </si>
  <si>
    <t>17_000644</t>
  </si>
  <si>
    <t>17_000645</t>
  </si>
  <si>
    <t>17_000646</t>
  </si>
  <si>
    <t>17_000647</t>
  </si>
  <si>
    <t>17_000648</t>
  </si>
  <si>
    <t>17_000649</t>
  </si>
  <si>
    <t>17_000650</t>
  </si>
  <si>
    <t>17_000651</t>
  </si>
  <si>
    <t>17_000652</t>
  </si>
  <si>
    <t>17_000653</t>
  </si>
  <si>
    <t>17_000654</t>
  </si>
  <si>
    <t>17_000655</t>
  </si>
  <si>
    <t>17_000656</t>
  </si>
  <si>
    <t>17_000657</t>
  </si>
  <si>
    <t>17_000658</t>
  </si>
  <si>
    <t>17_000659</t>
  </si>
  <si>
    <t>17_000660</t>
  </si>
  <si>
    <t>Альпийский пер.</t>
  </si>
  <si>
    <t>Андреевская ул.</t>
  </si>
  <si>
    <t>Боровая ул.</t>
  </si>
  <si>
    <t>Б</t>
  </si>
  <si>
    <t>дореволюционный фонд, непрошедший ККР сцепка</t>
  </si>
  <si>
    <t>дореволюционный фонд, прошедший ККР сцепка</t>
  </si>
  <si>
    <t>Боровая ул</t>
  </si>
  <si>
    <t>хрущевка сцепка</t>
  </si>
  <si>
    <t>В</t>
  </si>
  <si>
    <t>59-61</t>
  </si>
  <si>
    <t>Боровая ул.,</t>
  </si>
  <si>
    <t xml:space="preserve">Боровая ул., </t>
  </si>
  <si>
    <t xml:space="preserve">Будапештская ул., </t>
  </si>
  <si>
    <t>Будапештская ул.,</t>
  </si>
  <si>
    <t xml:space="preserve">Бухарестская ул., </t>
  </si>
  <si>
    <t>Бухарестская ул.,</t>
  </si>
  <si>
    <t xml:space="preserve">Витебская Сортировочная ул., </t>
  </si>
  <si>
    <t xml:space="preserve">Волковский пр., </t>
  </si>
  <si>
    <t>Воронежская ул.</t>
  </si>
  <si>
    <t>46-48</t>
  </si>
  <si>
    <t>Днепропетровская ул.</t>
  </si>
  <si>
    <t>Дубровская ул.</t>
  </si>
  <si>
    <t>Задворная ул.</t>
  </si>
  <si>
    <t>Касимовская ул.</t>
  </si>
  <si>
    <t>Курская ул.</t>
  </si>
  <si>
    <t>11/72</t>
  </si>
  <si>
    <t>13/193</t>
  </si>
  <si>
    <t>Лиговский пр.</t>
  </si>
  <si>
    <t>кирпичный сцепка</t>
  </si>
  <si>
    <t>Г</t>
  </si>
  <si>
    <t>Е</t>
  </si>
  <si>
    <t>203/207</t>
  </si>
  <si>
    <t>Н</t>
  </si>
  <si>
    <t>Мгинская ул.</t>
  </si>
  <si>
    <t>наб. р.Волковки</t>
  </si>
  <si>
    <t>наб.Обводного канала</t>
  </si>
  <si>
    <t>пр.Славы</t>
  </si>
  <si>
    <t>Прилукская ул.</t>
  </si>
  <si>
    <t>Расстанная ул.</t>
  </si>
  <si>
    <t>К</t>
  </si>
  <si>
    <t>Средняя ул.</t>
  </si>
  <si>
    <t>Стрельбищенская ул.</t>
  </si>
  <si>
    <t>сталинка сцепка</t>
  </si>
  <si>
    <t>Тамбовская ул.</t>
  </si>
  <si>
    <t>3-5</t>
  </si>
  <si>
    <t>70/30</t>
  </si>
  <si>
    <t>71/73</t>
  </si>
  <si>
    <t>ул.Димитрова</t>
  </si>
  <si>
    <t>ул.Салова</t>
  </si>
  <si>
    <t>ул.Самойловой</t>
  </si>
  <si>
    <t>28/11</t>
  </si>
  <si>
    <t>5/13</t>
  </si>
  <si>
    <t>16,,34</t>
  </si>
  <si>
    <t>ООО "ТЕРМИНАЛ"</t>
  </si>
  <si>
    <t>МО МО "Георгиевский"</t>
  </si>
  <si>
    <t>Альпийский</t>
  </si>
  <si>
    <t>ЛГ528КП-40</t>
  </si>
  <si>
    <t>ктрпичный</t>
  </si>
  <si>
    <t>1ЛГ502-10</t>
  </si>
  <si>
    <t>1ЛГ528</t>
  </si>
  <si>
    <t>кипрпичный</t>
  </si>
  <si>
    <t>1ЛГ502-9</t>
  </si>
  <si>
    <t>Белградская</t>
  </si>
  <si>
    <t>ЛГ502-9</t>
  </si>
  <si>
    <t>ЛГ502-10</t>
  </si>
  <si>
    <t>ЛГ502-11</t>
  </si>
  <si>
    <t xml:space="preserve">Будапештская  </t>
  </si>
  <si>
    <t xml:space="preserve">Будапештская    </t>
  </si>
  <si>
    <t>ЛГ-602В</t>
  </si>
  <si>
    <t>1-504Д-1</t>
  </si>
  <si>
    <t>1ЛГ-606-М</t>
  </si>
  <si>
    <t>ш5339-22/10</t>
  </si>
  <si>
    <t>ЛГ-602-7</t>
  </si>
  <si>
    <t>1ЛГ-504-д</t>
  </si>
  <si>
    <t>МО МО "Балканский"</t>
  </si>
  <si>
    <t>1ЛГ-602В</t>
  </si>
  <si>
    <t>Будапештская</t>
  </si>
  <si>
    <t>9378/23к</t>
  </si>
  <si>
    <t>1-528КП</t>
  </si>
  <si>
    <t>1ЛГ602В</t>
  </si>
  <si>
    <t>108/24</t>
  </si>
  <si>
    <t>110/23</t>
  </si>
  <si>
    <t>1-ЛГ602В</t>
  </si>
  <si>
    <t>1ЛГ528-КП40</t>
  </si>
  <si>
    <t xml:space="preserve">Бухарестская  </t>
  </si>
  <si>
    <t>1-ЛГ502-В</t>
  </si>
  <si>
    <t xml:space="preserve">Димитрова </t>
  </si>
  <si>
    <t>1ЛГ602-В</t>
  </si>
  <si>
    <t>11/67</t>
  </si>
  <si>
    <t xml:space="preserve">Димитрова  </t>
  </si>
  <si>
    <t>13/70</t>
  </si>
  <si>
    <t>16,982,1</t>
  </si>
  <si>
    <t>1-ЛГ-602В-6</t>
  </si>
  <si>
    <t>ЛГ-504Д-10</t>
  </si>
  <si>
    <t xml:space="preserve">Димитрова   </t>
  </si>
  <si>
    <t>ЛГ-602В-8</t>
  </si>
  <si>
    <t xml:space="preserve">Дунайский </t>
  </si>
  <si>
    <t>1ЛГ-504Д-10</t>
  </si>
  <si>
    <t xml:space="preserve">Загребский бр  </t>
  </si>
  <si>
    <t xml:space="preserve">Загребский б-р  </t>
  </si>
  <si>
    <t xml:space="preserve">Загребский </t>
  </si>
  <si>
    <t>Загребский</t>
  </si>
  <si>
    <t>1ЛГ-602-6</t>
  </si>
  <si>
    <t>8545/37А-К</t>
  </si>
  <si>
    <t>Загребский б-р</t>
  </si>
  <si>
    <t xml:space="preserve">Загребский б-р </t>
  </si>
  <si>
    <t xml:space="preserve">Купчинская     </t>
  </si>
  <si>
    <t>ЛГ602В</t>
  </si>
  <si>
    <t>Купчинская</t>
  </si>
  <si>
    <t xml:space="preserve">Купчинская  </t>
  </si>
  <si>
    <t>ш5339-22/11</t>
  </si>
  <si>
    <t xml:space="preserve">Купчинская   </t>
  </si>
  <si>
    <t>1ЛГ602-В-8</t>
  </si>
  <si>
    <t>1ЛГ602-В-6</t>
  </si>
  <si>
    <t>1ЛГ504Д-4</t>
  </si>
  <si>
    <t>1ЛГ504-Д-10</t>
  </si>
  <si>
    <t>1-528КЛ82</t>
  </si>
  <si>
    <t xml:space="preserve">Купчинская    </t>
  </si>
  <si>
    <t>ЛГ-504Д-1</t>
  </si>
  <si>
    <t>ЛГ504Д-10</t>
  </si>
  <si>
    <t xml:space="preserve">М.Балканская   </t>
  </si>
  <si>
    <t xml:space="preserve">М.Балканская  </t>
  </si>
  <si>
    <t xml:space="preserve">М.Балканская    </t>
  </si>
  <si>
    <t xml:space="preserve">М.Балканская </t>
  </si>
  <si>
    <t>137</t>
  </si>
  <si>
    <t>О.Дундича</t>
  </si>
  <si>
    <t xml:space="preserve">О.Дундича </t>
  </si>
  <si>
    <t>1ЛГ-602В-2</t>
  </si>
  <si>
    <t>1/10</t>
  </si>
  <si>
    <t>1ЛГ504Д-11</t>
  </si>
  <si>
    <t>1-528КП-82</t>
  </si>
  <si>
    <t>ЛГ602-В-8</t>
  </si>
  <si>
    <t>Пр. Славы</t>
  </si>
  <si>
    <t xml:space="preserve">Пр. Славы </t>
  </si>
  <si>
    <t>1ЛГ602В-6-8</t>
  </si>
  <si>
    <t>1ЛГ 502-9</t>
  </si>
  <si>
    <t>43/49</t>
  </si>
  <si>
    <t>1ЛГ502В-6</t>
  </si>
  <si>
    <t xml:space="preserve">Я.Гашека </t>
  </si>
  <si>
    <t>1-528КП-80Э/7</t>
  </si>
  <si>
    <t xml:space="preserve">Я.Гашека  </t>
  </si>
  <si>
    <t>12/100</t>
  </si>
  <si>
    <t>ЛГ-602В-5</t>
  </si>
  <si>
    <t>Дунайский пр</t>
  </si>
  <si>
    <t>1-528КП-86</t>
  </si>
  <si>
    <t>1ЛГ602-В-5</t>
  </si>
  <si>
    <t>1ЛГ504 МВ</t>
  </si>
  <si>
    <t xml:space="preserve">Пр. Славы  </t>
  </si>
  <si>
    <t>Я.Гашека</t>
  </si>
  <si>
    <t>8/22</t>
  </si>
  <si>
    <t>10/85</t>
  </si>
  <si>
    <t>17_000661</t>
  </si>
  <si>
    <t>17_000662</t>
  </si>
  <si>
    <t>17_000663</t>
  </si>
  <si>
    <t>17_000664</t>
  </si>
  <si>
    <t>17_000665</t>
  </si>
  <si>
    <t>17_000666</t>
  </si>
  <si>
    <t>17_000667</t>
  </si>
  <si>
    <t>17_000668</t>
  </si>
  <si>
    <t>17_000669</t>
  </si>
  <si>
    <t>17_000670</t>
  </si>
  <si>
    <t>17_000671</t>
  </si>
  <si>
    <t>17_000672</t>
  </si>
  <si>
    <t>17_000673</t>
  </si>
  <si>
    <t>17_000674</t>
  </si>
  <si>
    <t>17_000675</t>
  </si>
  <si>
    <t>17_000676</t>
  </si>
  <si>
    <t>17_000677</t>
  </si>
  <si>
    <t>17_000678</t>
  </si>
  <si>
    <t>17_000679</t>
  </si>
  <si>
    <t>17_000680</t>
  </si>
  <si>
    <t>17_000681</t>
  </si>
  <si>
    <t>17_000682</t>
  </si>
  <si>
    <t>17_000683</t>
  </si>
  <si>
    <t>17_000684</t>
  </si>
  <si>
    <t>17_000685</t>
  </si>
  <si>
    <t>17_000686</t>
  </si>
  <si>
    <t>17_000687</t>
  </si>
  <si>
    <t>17_000688</t>
  </si>
  <si>
    <t>17_000689</t>
  </si>
  <si>
    <t>17_000690</t>
  </si>
  <si>
    <t>17_000691</t>
  </si>
  <si>
    <t>17_000692</t>
  </si>
  <si>
    <t>17_000693</t>
  </si>
  <si>
    <t>17_000694</t>
  </si>
  <si>
    <t>17_000695</t>
  </si>
  <si>
    <t>17_000696</t>
  </si>
  <si>
    <t>17_000697</t>
  </si>
  <si>
    <t>17_000698</t>
  </si>
  <si>
    <t>17_000699</t>
  </si>
  <si>
    <t>17_000700</t>
  </si>
  <si>
    <t>17_000701</t>
  </si>
  <si>
    <t>17_000702</t>
  </si>
  <si>
    <t>17_000703</t>
  </si>
  <si>
    <t>17_000704</t>
  </si>
  <si>
    <t>17_000705</t>
  </si>
  <si>
    <t>17_000706</t>
  </si>
  <si>
    <t>17_000707</t>
  </si>
  <si>
    <t>17_000708</t>
  </si>
  <si>
    <t>17_000709</t>
  </si>
  <si>
    <t>17_000710</t>
  </si>
  <si>
    <t>17_000711</t>
  </si>
  <si>
    <t>17_000712</t>
  </si>
  <si>
    <t>17_000713</t>
  </si>
  <si>
    <t>17_000714</t>
  </si>
  <si>
    <t>17_000715</t>
  </si>
  <si>
    <t>17_000716</t>
  </si>
  <si>
    <t>17_000717</t>
  </si>
  <si>
    <t>17_000718</t>
  </si>
  <si>
    <t>17_000719</t>
  </si>
  <si>
    <t>17_000720</t>
  </si>
  <si>
    <t>17_000721</t>
  </si>
  <si>
    <t>17_000722</t>
  </si>
  <si>
    <t>17_000723</t>
  </si>
  <si>
    <t>17_000724</t>
  </si>
  <si>
    <t>17_000725</t>
  </si>
  <si>
    <t>17_000726</t>
  </si>
  <si>
    <t>17_000727</t>
  </si>
  <si>
    <t>17_000728</t>
  </si>
  <si>
    <t>17_000729</t>
  </si>
  <si>
    <t>17_000730</t>
  </si>
  <si>
    <t>17_000731</t>
  </si>
  <si>
    <t>17_000732</t>
  </si>
  <si>
    <t>17_000733</t>
  </si>
  <si>
    <t>17_000734</t>
  </si>
  <si>
    <t>17_000735</t>
  </si>
  <si>
    <t>17_000736</t>
  </si>
  <si>
    <t>17_000737</t>
  </si>
  <si>
    <t>17_000738</t>
  </si>
  <si>
    <t>17_000739</t>
  </si>
  <si>
    <t>17_000740</t>
  </si>
  <si>
    <t>17_000741</t>
  </si>
  <si>
    <t>17_000742</t>
  </si>
  <si>
    <t>17_000743</t>
  </si>
  <si>
    <t>17_000744</t>
  </si>
  <si>
    <t>17_000745</t>
  </si>
  <si>
    <t>17_000746</t>
  </si>
  <si>
    <t>17_000747</t>
  </si>
  <si>
    <t>17_000748</t>
  </si>
  <si>
    <t>17_000749</t>
  </si>
  <si>
    <t>17_000750</t>
  </si>
  <si>
    <t>17_000751</t>
  </si>
  <si>
    <t>17_000752</t>
  </si>
  <si>
    <t>17_000753</t>
  </si>
  <si>
    <t>17_000754</t>
  </si>
  <si>
    <t>17_000755</t>
  </si>
  <si>
    <t>17_000756</t>
  </si>
  <si>
    <t>17_000757</t>
  </si>
  <si>
    <t>17_000758</t>
  </si>
  <si>
    <t>17_000759</t>
  </si>
  <si>
    <t>17_000760</t>
  </si>
  <si>
    <t>17_000761</t>
  </si>
  <si>
    <t>17_000762</t>
  </si>
  <si>
    <t>17_000763</t>
  </si>
  <si>
    <t>17_000764</t>
  </si>
  <si>
    <t>17_000765</t>
  </si>
  <si>
    <t>17_000766</t>
  </si>
  <si>
    <t>17_000767</t>
  </si>
  <si>
    <t>17_000768</t>
  </si>
  <si>
    <t>17_000769</t>
  </si>
  <si>
    <t>17_000770</t>
  </si>
  <si>
    <t>17_000771</t>
  </si>
  <si>
    <t>17_000772</t>
  </si>
  <si>
    <t>17_000773</t>
  </si>
  <si>
    <t>17_000774</t>
  </si>
  <si>
    <t>17_000775</t>
  </si>
  <si>
    <t>ТГК-1</t>
  </si>
  <si>
    <t>ЖКС№3 Фр. р-на</t>
  </si>
  <si>
    <t>8атм</t>
  </si>
  <si>
    <t>Элеватор</t>
  </si>
  <si>
    <t>0.36</t>
  </si>
  <si>
    <t>0.69</t>
  </si>
  <si>
    <t>0.34</t>
  </si>
  <si>
    <t>0.9</t>
  </si>
  <si>
    <t>0.66</t>
  </si>
  <si>
    <t>0.91</t>
  </si>
  <si>
    <t>0.35</t>
  </si>
  <si>
    <t>1.02</t>
  </si>
  <si>
    <t>0.87</t>
  </si>
  <si>
    <t>0.89</t>
  </si>
  <si>
    <t>0.94</t>
  </si>
  <si>
    <t>0.33</t>
  </si>
  <si>
    <t>0.62</t>
  </si>
  <si>
    <t>0.88</t>
  </si>
  <si>
    <t>2.34</t>
  </si>
  <si>
    <t>3.2202</t>
  </si>
  <si>
    <t>Коллектор</t>
  </si>
  <si>
    <t>0.97</t>
  </si>
  <si>
    <t>2.68</t>
  </si>
  <si>
    <t>0.83</t>
  </si>
  <si>
    <t>1.096</t>
  </si>
  <si>
    <t>4.084</t>
  </si>
  <si>
    <t>0.6</t>
  </si>
  <si>
    <t>3.3598</t>
  </si>
  <si>
    <t>1.016</t>
  </si>
  <si>
    <t>0.51</t>
  </si>
  <si>
    <t>1.7</t>
  </si>
  <si>
    <t>4.49</t>
  </si>
  <si>
    <t>0.32</t>
  </si>
  <si>
    <t>0.92</t>
  </si>
  <si>
    <t>2.5897</t>
  </si>
  <si>
    <t>2.4788</t>
  </si>
  <si>
    <t>2.58964</t>
  </si>
  <si>
    <t>2.56888</t>
  </si>
  <si>
    <t>1.29</t>
  </si>
  <si>
    <t>1.94</t>
  </si>
  <si>
    <t>1.36</t>
  </si>
  <si>
    <t>1.7668</t>
  </si>
  <si>
    <t>1.91</t>
  </si>
  <si>
    <t>2.17228</t>
  </si>
  <si>
    <t>1.53</t>
  </si>
  <si>
    <t>3.73</t>
  </si>
  <si>
    <t>0.65</t>
  </si>
  <si>
    <t>1.8031</t>
  </si>
  <si>
    <t>2.86</t>
  </si>
  <si>
    <t>0.84</t>
  </si>
  <si>
    <t>!!!!!!!</t>
  </si>
  <si>
    <t>2.229</t>
  </si>
  <si>
    <t>2.5144</t>
  </si>
  <si>
    <t>1.348</t>
  </si>
  <si>
    <t>5.61</t>
  </si>
  <si>
    <t>5.44</t>
  </si>
  <si>
    <t>2.3</t>
  </si>
  <si>
    <t>2.26898</t>
  </si>
  <si>
    <t>0.7</t>
  </si>
  <si>
    <t>2.05</t>
  </si>
  <si>
    <t>1.74</t>
  </si>
  <si>
    <t>1.15</t>
  </si>
  <si>
    <t>1.72</t>
  </si>
  <si>
    <t>1.34</t>
  </si>
  <si>
    <t>0.85</t>
  </si>
  <si>
    <t>1.8</t>
  </si>
  <si>
    <t>1.83422</t>
  </si>
  <si>
    <t>1.8207</t>
  </si>
  <si>
    <t>0.96</t>
  </si>
  <si>
    <t>1.68</t>
  </si>
  <si>
    <t>1.75</t>
  </si>
  <si>
    <t>2.16</t>
  </si>
  <si>
    <t>2.14</t>
  </si>
  <si>
    <t>1.51</t>
  </si>
  <si>
    <t>1.671</t>
  </si>
  <si>
    <t>4.950003</t>
  </si>
  <si>
    <t>1.32</t>
  </si>
  <si>
    <t>0.9148</t>
  </si>
  <si>
    <t>3.78</t>
  </si>
  <si>
    <t>3.201</t>
  </si>
  <si>
    <t>0,96</t>
  </si>
  <si>
    <t>1,57</t>
  </si>
  <si>
    <t>1,96</t>
  </si>
  <si>
    <t>0,88</t>
  </si>
  <si>
    <t>0,85</t>
  </si>
  <si>
    <t>0,61</t>
  </si>
  <si>
    <t>0,59</t>
  </si>
  <si>
    <t>3,865</t>
  </si>
  <si>
    <t>3,846</t>
  </si>
  <si>
    <t>2,426</t>
  </si>
  <si>
    <t>2,921</t>
  </si>
  <si>
    <t>2,83</t>
  </si>
  <si>
    <t>0,87</t>
  </si>
  <si>
    <t>0,95</t>
  </si>
  <si>
    <t>2,31</t>
  </si>
  <si>
    <t>2,19</t>
  </si>
  <si>
    <t>3,62</t>
  </si>
  <si>
    <t>0,33</t>
  </si>
  <si>
    <t>1,38</t>
  </si>
  <si>
    <t>3,04</t>
  </si>
  <si>
    <t>1,74</t>
  </si>
  <si>
    <t>1,7</t>
  </si>
  <si>
    <t>1,78</t>
  </si>
  <si>
    <t>1,87</t>
  </si>
  <si>
    <t>2,35</t>
  </si>
  <si>
    <t>0,68</t>
  </si>
  <si>
    <t>4,99</t>
  </si>
  <si>
    <t>1,45</t>
  </si>
  <si>
    <t>3,3</t>
  </si>
  <si>
    <t>1,58</t>
  </si>
  <si>
    <t>2,12</t>
  </si>
  <si>
    <t>0,62</t>
  </si>
  <si>
    <t>0,98</t>
  </si>
  <si>
    <t>0,94</t>
  </si>
  <si>
    <t>4,36</t>
  </si>
  <si>
    <t>ТГК-2</t>
  </si>
  <si>
    <t>4,74</t>
  </si>
  <si>
    <t>ООО "ЖКС №3 Фрунз.р-на"</t>
  </si>
  <si>
    <t>люминисцентные лампы</t>
  </si>
  <si>
    <t>РКУ</t>
  </si>
  <si>
    <t>ТСЖ"Дунайский 51/2"</t>
  </si>
  <si>
    <t>Фрунзенского района Санкт-Петербурга</t>
  </si>
  <si>
    <t>МО "Георгиевское"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</si>
</sst>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р_._-;\-* #,##0.00_р_._-;_-* &quot;-&quot;??_р_._-;_-@_-"/>
    <numFmt numFmtId="164" formatCode="0.000"/>
    <numFmt numFmtId="165" formatCode="0.0"/>
  </numFmts>
  <fonts count="31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indexed="17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rgb="FFC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0"/>
      <name val="Arial Cyr"/>
      <charset val="204"/>
    </font>
    <font>
      <sz val="9"/>
      <color indexed="8"/>
      <name val="Times New Roman"/>
      <family val="1"/>
      <charset val="204"/>
    </font>
    <font>
      <sz val="12"/>
      <name val="Arial Cyr"/>
      <charset val="204"/>
    </font>
    <font>
      <sz val="11"/>
      <name val="Times New Roman"/>
      <family val="1"/>
      <charset val="204"/>
    </font>
    <font>
      <sz val="11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</borders>
  <cellStyleXfs count="5">
    <xf numFmtId="0" fontId="0" fillId="0" borderId="0"/>
    <xf numFmtId="43" fontId="12" fillId="0" borderId="0" applyFont="0" applyFill="0" applyBorder="0" applyAlignment="0" applyProtection="0"/>
    <xf numFmtId="0" fontId="17" fillId="0" borderId="0"/>
    <xf numFmtId="0" fontId="20" fillId="0" borderId="0"/>
    <xf numFmtId="0" fontId="22" fillId="0" borderId="0"/>
  </cellStyleXfs>
  <cellXfs count="454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8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0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10" fillId="0" borderId="0" xfId="0" applyFont="1"/>
    <xf numFmtId="0" fontId="4" fillId="0" borderId="1" xfId="0" applyFont="1" applyBorder="1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center" vertical="top" wrapText="1"/>
    </xf>
    <xf numFmtId="0" fontId="4" fillId="0" borderId="0" xfId="0" applyFont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8" fillId="2" borderId="1" xfId="0" applyFont="1" applyFill="1" applyBorder="1"/>
    <xf numFmtId="0" fontId="4" fillId="2" borderId="1" xfId="0" applyFont="1" applyFill="1" applyBorder="1"/>
    <xf numFmtId="0" fontId="1" fillId="9" borderId="1" xfId="0" applyFont="1" applyFill="1" applyBorder="1"/>
    <xf numFmtId="0" fontId="4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7" fillId="0" borderId="0" xfId="0" applyFont="1"/>
    <xf numFmtId="0" fontId="4" fillId="10" borderId="0" xfId="0" applyFont="1" applyFill="1"/>
    <xf numFmtId="0" fontId="3" fillId="10" borderId="0" xfId="0" applyFont="1" applyFill="1"/>
    <xf numFmtId="49" fontId="4" fillId="10" borderId="0" xfId="0" applyNumberFormat="1" applyFont="1" applyFill="1" applyAlignment="1">
      <alignment horizontal="center"/>
    </xf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5" fillId="0" borderId="1" xfId="0" applyFont="1" applyBorder="1"/>
    <xf numFmtId="0" fontId="13" fillId="0" borderId="0" xfId="0" applyFont="1"/>
    <xf numFmtId="0" fontId="13" fillId="0" borderId="1" xfId="0" applyFont="1" applyBorder="1" applyAlignment="1">
      <alignment wrapText="1"/>
    </xf>
    <xf numFmtId="0" fontId="13" fillId="0" borderId="1" xfId="0" applyFont="1" applyFill="1" applyBorder="1"/>
    <xf numFmtId="0" fontId="13" fillId="0" borderId="0" xfId="0" applyFont="1" applyAlignment="1">
      <alignment wrapText="1"/>
    </xf>
    <xf numFmtId="0" fontId="13" fillId="0" borderId="1" xfId="0" applyFont="1" applyFill="1" applyBorder="1" applyAlignment="1">
      <alignment wrapText="1"/>
    </xf>
    <xf numFmtId="0" fontId="16" fillId="0" borderId="1" xfId="0" applyFont="1" applyBorder="1" applyAlignment="1">
      <alignment wrapText="1"/>
    </xf>
    <xf numFmtId="0" fontId="16" fillId="0" borderId="1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1" fillId="0" borderId="8" xfId="2" applyFont="1" applyBorder="1" applyAlignment="1">
      <alignment horizontal="center" vertical="center"/>
    </xf>
    <xf numFmtId="0" fontId="1" fillId="0" borderId="8" xfId="2" applyFont="1" applyBorder="1" applyAlignment="1">
      <alignment horizontal="center"/>
    </xf>
    <xf numFmtId="0" fontId="1" fillId="0" borderId="8" xfId="2" applyFont="1" applyBorder="1" applyAlignment="1">
      <alignment horizontal="center" wrapText="1"/>
    </xf>
    <xf numFmtId="0" fontId="1" fillId="0" borderId="0" xfId="2" applyFont="1" applyAlignment="1">
      <alignment horizontal="center"/>
    </xf>
    <xf numFmtId="0" fontId="1" fillId="0" borderId="9" xfId="2" applyFont="1" applyBorder="1" applyAlignment="1">
      <alignment horizontal="center" wrapText="1"/>
    </xf>
    <xf numFmtId="0" fontId="1" fillId="0" borderId="8" xfId="2" applyFont="1" applyFill="1" applyBorder="1" applyAlignment="1">
      <alignment horizontal="center"/>
    </xf>
    <xf numFmtId="0" fontId="1" fillId="0" borderId="0" xfId="2" applyFont="1" applyAlignment="1">
      <alignment horizontal="center" wrapText="1"/>
    </xf>
    <xf numFmtId="0" fontId="1" fillId="0" borderId="8" xfId="2" applyFont="1" applyBorder="1" applyAlignment="1">
      <alignment horizontal="left" wrapText="1"/>
    </xf>
    <xf numFmtId="0" fontId="1" fillId="0" borderId="8" xfId="2" applyFont="1" applyBorder="1" applyAlignment="1">
      <alignment horizontal="left"/>
    </xf>
    <xf numFmtId="0" fontId="1" fillId="0" borderId="8" xfId="2" applyFont="1" applyFill="1" applyBorder="1" applyAlignment="1">
      <alignment horizontal="left"/>
    </xf>
    <xf numFmtId="2" fontId="1" fillId="0" borderId="8" xfId="2" applyNumberFormat="1" applyFont="1" applyBorder="1" applyAlignment="1">
      <alignment horizontal="left" wrapText="1"/>
    </xf>
    <xf numFmtId="0" fontId="1" fillId="0" borderId="0" xfId="2" applyFont="1" applyAlignment="1">
      <alignment horizontal="left" wrapText="1"/>
    </xf>
    <xf numFmtId="0" fontId="1" fillId="0" borderId="8" xfId="2" applyFont="1" applyBorder="1" applyAlignment="1">
      <alignment horizontal="center" vertical="center" wrapText="1"/>
    </xf>
    <xf numFmtId="0" fontId="4" fillId="0" borderId="8" xfId="2" applyFont="1" applyBorder="1" applyAlignment="1">
      <alignment horizontal="center"/>
    </xf>
    <xf numFmtId="0" fontId="5" fillId="0" borderId="8" xfId="2" applyFont="1" applyBorder="1" applyAlignment="1">
      <alignment horizontal="center" wrapText="1"/>
    </xf>
    <xf numFmtId="0" fontId="5" fillId="0" borderId="0" xfId="2" applyFont="1" applyAlignment="1">
      <alignment horizontal="center" wrapText="1"/>
    </xf>
    <xf numFmtId="0" fontId="1" fillId="0" borderId="10" xfId="2" applyFont="1" applyBorder="1" applyAlignment="1">
      <alignment horizontal="center" wrapText="1"/>
    </xf>
    <xf numFmtId="0" fontId="1" fillId="0" borderId="10" xfId="2" applyFont="1" applyFill="1" applyBorder="1" applyAlignment="1">
      <alignment horizontal="center"/>
    </xf>
    <xf numFmtId="0" fontId="1" fillId="0" borderId="10" xfId="2" applyFont="1" applyFill="1" applyBorder="1" applyAlignment="1">
      <alignment horizontal="center" wrapText="1"/>
    </xf>
    <xf numFmtId="0" fontId="5" fillId="0" borderId="1" xfId="2" applyFont="1" applyBorder="1" applyAlignment="1">
      <alignment horizontal="center" wrapText="1"/>
    </xf>
    <xf numFmtId="0" fontId="1" fillId="0" borderId="1" xfId="2" applyFont="1" applyFill="1" applyBorder="1" applyAlignment="1">
      <alignment horizontal="center"/>
    </xf>
    <xf numFmtId="0" fontId="1" fillId="0" borderId="1" xfId="2" applyFont="1" applyBorder="1" applyAlignment="1">
      <alignment horizontal="center"/>
    </xf>
    <xf numFmtId="0" fontId="18" fillId="0" borderId="0" xfId="0" applyFont="1"/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right"/>
    </xf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9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/>
    </xf>
    <xf numFmtId="0" fontId="4" fillId="12" borderId="1" xfId="0" applyFont="1" applyFill="1" applyBorder="1"/>
    <xf numFmtId="0" fontId="1" fillId="12" borderId="0" xfId="0" applyFont="1" applyFill="1"/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" fillId="0" borderId="1" xfId="3" applyFont="1" applyFill="1" applyBorder="1" applyAlignment="1">
      <alignment wrapText="1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 vertical="center" wrapText="1"/>
    </xf>
    <xf numFmtId="0" fontId="13" fillId="13" borderId="1" xfId="0" applyFont="1" applyFill="1" applyBorder="1" applyAlignment="1">
      <alignment vertical="center"/>
    </xf>
    <xf numFmtId="4" fontId="13" fillId="0" borderId="1" xfId="0" applyNumberFormat="1" applyFont="1" applyFill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left" vertical="center" wrapText="1"/>
    </xf>
    <xf numFmtId="0" fontId="13" fillId="13" borderId="1" xfId="0" applyFont="1" applyFill="1" applyBorder="1" applyAlignment="1">
      <alignment vertical="center" wrapText="1"/>
    </xf>
    <xf numFmtId="49" fontId="13" fillId="0" borderId="1" xfId="0" applyNumberFormat="1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0" fontId="1" fillId="0" borderId="8" xfId="2" applyFont="1" applyBorder="1" applyAlignment="1"/>
    <xf numFmtId="0" fontId="5" fillId="0" borderId="1" xfId="0" applyFont="1" applyBorder="1" applyAlignment="1"/>
    <xf numFmtId="0" fontId="4" fillId="5" borderId="1" xfId="0" applyFont="1" applyFill="1" applyBorder="1" applyAlignment="1">
      <alignment vertical="center"/>
    </xf>
    <xf numFmtId="0" fontId="1" fillId="0" borderId="1" xfId="0" applyFont="1" applyBorder="1" applyAlignment="1"/>
    <xf numFmtId="0" fontId="13" fillId="0" borderId="1" xfId="0" applyFont="1" applyBorder="1" applyAlignment="1"/>
    <xf numFmtId="0" fontId="16" fillId="0" borderId="1" xfId="0" applyFont="1" applyBorder="1" applyAlignment="1"/>
    <xf numFmtId="0" fontId="5" fillId="0" borderId="8" xfId="2" applyFont="1" applyBorder="1" applyAlignment="1"/>
    <xf numFmtId="0" fontId="5" fillId="0" borderId="0" xfId="0" applyFont="1" applyBorder="1" applyAlignment="1"/>
    <xf numFmtId="0" fontId="1" fillId="14" borderId="1" xfId="0" applyFont="1" applyFill="1" applyBorder="1"/>
    <xf numFmtId="0" fontId="1" fillId="12" borderId="1" xfId="0" applyFont="1" applyFill="1" applyBorder="1" applyAlignment="1">
      <alignment wrapText="1"/>
    </xf>
    <xf numFmtId="0" fontId="13" fillId="0" borderId="0" xfId="0" applyFont="1" applyAlignment="1">
      <alignment horizontal="center" vertical="center" wrapText="1"/>
    </xf>
    <xf numFmtId="0" fontId="13" fillId="0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3" fillId="11" borderId="1" xfId="0" applyFont="1" applyFill="1" applyBorder="1" applyAlignment="1">
      <alignment horizontal="left"/>
    </xf>
    <xf numFmtId="0" fontId="13" fillId="11" borderId="1" xfId="0" applyFont="1" applyFill="1" applyBorder="1" applyAlignment="1">
      <alignment horizontal="left" wrapText="1"/>
    </xf>
    <xf numFmtId="0" fontId="4" fillId="11" borderId="1" xfId="0" applyFont="1" applyFill="1" applyBorder="1" applyAlignment="1">
      <alignment horizontal="left"/>
    </xf>
    <xf numFmtId="0" fontId="15" fillId="11" borderId="1" xfId="0" applyFont="1" applyFill="1" applyBorder="1" applyAlignment="1">
      <alignment horizontal="left"/>
    </xf>
    <xf numFmtId="0" fontId="13" fillId="11" borderId="0" xfId="0" applyFont="1" applyFill="1" applyAlignment="1">
      <alignment horizontal="left" wrapText="1"/>
    </xf>
    <xf numFmtId="0" fontId="13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2" fontId="2" fillId="0" borderId="1" xfId="0" applyNumberFormat="1" applyFont="1" applyFill="1" applyBorder="1" applyAlignment="1">
      <alignment horizontal="left"/>
    </xf>
    <xf numFmtId="2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2" fontId="13" fillId="0" borderId="1" xfId="0" applyNumberFormat="1" applyFont="1" applyBorder="1" applyAlignment="1">
      <alignment horizontal="left" wrapText="1"/>
    </xf>
    <xf numFmtId="0" fontId="16" fillId="0" borderId="1" xfId="0" applyFont="1" applyFill="1" applyBorder="1" applyAlignment="1">
      <alignment horizontal="left" wrapText="1"/>
    </xf>
    <xf numFmtId="0" fontId="16" fillId="0" borderId="0" xfId="0" applyFont="1" applyAlignment="1">
      <alignment horizontal="left" wrapText="1"/>
    </xf>
    <xf numFmtId="2" fontId="16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14" borderId="1" xfId="0" applyFont="1" applyFill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2" fontId="5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22" fillId="0" borderId="1" xfId="4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65" fontId="13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65" fontId="13" fillId="0" borderId="1" xfId="0" applyNumberFormat="1" applyFont="1" applyFill="1" applyBorder="1" applyAlignment="1">
      <alignment horizontal="left" vertical="center" wrapText="1"/>
    </xf>
    <xf numFmtId="2" fontId="24" fillId="0" borderId="1" xfId="4" applyNumberFormat="1" applyFont="1" applyBorder="1" applyAlignment="1">
      <alignment horizontal="left" vertical="center"/>
    </xf>
    <xf numFmtId="0" fontId="16" fillId="0" borderId="0" xfId="0" applyFont="1" applyFill="1" applyAlignment="1">
      <alignment horizontal="left" vertical="center" wrapText="1"/>
    </xf>
    <xf numFmtId="0" fontId="22" fillId="0" borderId="0" xfId="4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22" fillId="0" borderId="1" xfId="4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 wrapText="1"/>
    </xf>
    <xf numFmtId="0" fontId="16" fillId="15" borderId="0" xfId="0" applyFont="1" applyFill="1" applyAlignment="1">
      <alignment horizontal="left" vertical="center" wrapText="1"/>
    </xf>
    <xf numFmtId="2" fontId="5" fillId="0" borderId="1" xfId="0" applyNumberFormat="1" applyFont="1" applyFill="1" applyBorder="1" applyAlignment="1">
      <alignment horizontal="left" vertical="center" wrapText="1"/>
    </xf>
    <xf numFmtId="2" fontId="1" fillId="0" borderId="1" xfId="0" applyNumberFormat="1" applyFont="1" applyFill="1" applyBorder="1" applyAlignment="1">
      <alignment horizontal="left" vertical="center"/>
    </xf>
    <xf numFmtId="165" fontId="24" fillId="0" borderId="1" xfId="4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left" vertical="center"/>
    </xf>
    <xf numFmtId="0" fontId="1" fillId="12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13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13" fillId="0" borderId="1" xfId="0" applyFont="1" applyBorder="1" applyAlignment="1">
      <alignment horizontal="center"/>
    </xf>
    <xf numFmtId="0" fontId="17" fillId="0" borderId="1" xfId="3" applyFont="1" applyFill="1" applyBorder="1" applyAlignment="1">
      <alignment wrapText="1"/>
    </xf>
    <xf numFmtId="0" fontId="15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7" fillId="0" borderId="7" xfId="3" applyFont="1" applyFill="1" applyBorder="1" applyAlignment="1">
      <alignment wrapText="1"/>
    </xf>
    <xf numFmtId="0" fontId="21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5" xfId="0" applyFont="1" applyBorder="1" applyAlignment="1">
      <alignment horizontal="center" wrapText="1"/>
    </xf>
    <xf numFmtId="0" fontId="17" fillId="0" borderId="0" xfId="3" applyFont="1" applyFill="1" applyBorder="1" applyAlignment="1">
      <alignment wrapText="1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0" xfId="0" applyFont="1" applyAlignment="1">
      <alignment horizontal="center" wrapText="1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3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7" fillId="0" borderId="19" xfId="3" applyFont="1" applyFill="1" applyBorder="1" applyAlignment="1">
      <alignment wrapText="1"/>
    </xf>
    <xf numFmtId="0" fontId="13" fillId="0" borderId="1" xfId="0" applyNumberFormat="1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4" fontId="16" fillId="0" borderId="1" xfId="0" applyNumberFormat="1" applyFont="1" applyBorder="1" applyAlignment="1">
      <alignment horizontal="center"/>
    </xf>
    <xf numFmtId="4" fontId="26" fillId="0" borderId="8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1" fillId="0" borderId="20" xfId="0" applyFont="1" applyBorder="1" applyAlignment="1">
      <alignment horizontal="right"/>
    </xf>
    <xf numFmtId="0" fontId="17" fillId="0" borderId="21" xfId="3" applyFont="1" applyFill="1" applyBorder="1" applyAlignment="1">
      <alignment wrapText="1"/>
    </xf>
    <xf numFmtId="0" fontId="16" fillId="0" borderId="4" xfId="0" applyFont="1" applyBorder="1" applyAlignment="1">
      <alignment horizontal="center"/>
    </xf>
    <xf numFmtId="0" fontId="13" fillId="0" borderId="4" xfId="0" applyFont="1" applyBorder="1"/>
    <xf numFmtId="0" fontId="13" fillId="13" borderId="1" xfId="0" applyFont="1" applyFill="1" applyBorder="1"/>
    <xf numFmtId="0" fontId="17" fillId="13" borderId="1" xfId="3" applyFont="1" applyFill="1" applyBorder="1" applyAlignment="1">
      <alignment wrapText="1"/>
    </xf>
    <xf numFmtId="0" fontId="13" fillId="13" borderId="1" xfId="0" applyFont="1" applyFill="1" applyBorder="1" applyAlignment="1">
      <alignment horizontal="center"/>
    </xf>
    <xf numFmtId="0" fontId="13" fillId="13" borderId="0" xfId="0" applyFont="1" applyFill="1"/>
    <xf numFmtId="0" fontId="13" fillId="13" borderId="1" xfId="0" applyFont="1" applyFill="1" applyBorder="1" applyAlignment="1">
      <alignment horizontal="center" wrapText="1"/>
    </xf>
    <xf numFmtId="0" fontId="17" fillId="0" borderId="4" xfId="3" applyFont="1" applyFill="1" applyBorder="1" applyAlignment="1">
      <alignment wrapText="1"/>
    </xf>
    <xf numFmtId="0" fontId="19" fillId="1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1" fillId="0" borderId="1" xfId="0" applyFont="1" applyBorder="1"/>
    <xf numFmtId="0" fontId="13" fillId="0" borderId="0" xfId="0" applyFont="1" applyBorder="1"/>
    <xf numFmtId="0" fontId="13" fillId="0" borderId="0" xfId="0" applyNumberFormat="1" applyFont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13" fillId="0" borderId="1" xfId="0" applyFont="1" applyFill="1" applyBorder="1" applyAlignment="1">
      <alignment vertical="top" wrapText="1"/>
    </xf>
    <xf numFmtId="0" fontId="13" fillId="0" borderId="7" xfId="0" applyFont="1" applyFill="1" applyBorder="1" applyAlignment="1"/>
    <xf numFmtId="0" fontId="13" fillId="0" borderId="6" xfId="0" applyFont="1" applyFill="1" applyBorder="1" applyAlignment="1"/>
    <xf numFmtId="0" fontId="13" fillId="0" borderId="1" xfId="0" applyFont="1" applyBorder="1" applyAlignment="1">
      <alignment vertical="center"/>
    </xf>
    <xf numFmtId="0" fontId="16" fillId="0" borderId="0" xfId="0" applyFont="1" applyAlignment="1">
      <alignment horizontal="center" wrapText="1"/>
    </xf>
    <xf numFmtId="0" fontId="2" fillId="7" borderId="2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2" fillId="7" borderId="7" xfId="0" applyFont="1" applyFill="1" applyBorder="1" applyAlignment="1">
      <alignment horizontal="left" vertical="center" wrapText="1"/>
    </xf>
    <xf numFmtId="0" fontId="1" fillId="0" borderId="11" xfId="2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/>
    </xf>
    <xf numFmtId="0" fontId="4" fillId="0" borderId="0" xfId="0" applyFont="1" applyFill="1" applyAlignment="1"/>
    <xf numFmtId="0" fontId="1" fillId="0" borderId="4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3" fillId="0" borderId="0" xfId="0" applyFont="1" applyFill="1" applyAlignment="1">
      <alignment wrapText="1"/>
    </xf>
    <xf numFmtId="0" fontId="0" fillId="0" borderId="8" xfId="0" applyFill="1" applyBorder="1" applyAlignment="1">
      <alignment vertical="top" wrapText="1"/>
    </xf>
    <xf numFmtId="49" fontId="29" fillId="0" borderId="1" xfId="0" applyNumberFormat="1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0" fillId="0" borderId="23" xfId="0" applyFill="1" applyBorder="1" applyAlignment="1">
      <alignment vertical="top" wrapText="1"/>
    </xf>
    <xf numFmtId="0" fontId="0" fillId="0" borderId="9" xfId="0" applyFill="1" applyBorder="1" applyAlignment="1">
      <alignment vertical="top" wrapText="1"/>
    </xf>
    <xf numFmtId="0" fontId="0" fillId="0" borderId="24" xfId="0" applyFill="1" applyBorder="1" applyAlignment="1">
      <alignment vertical="top" wrapText="1"/>
    </xf>
    <xf numFmtId="0" fontId="1" fillId="0" borderId="4" xfId="0" applyFont="1" applyBorder="1"/>
    <xf numFmtId="0" fontId="1" fillId="0" borderId="4" xfId="0" applyFont="1" applyFill="1" applyBorder="1"/>
    <xf numFmtId="0" fontId="1" fillId="0" borderId="2" xfId="0" applyFont="1" applyBorder="1"/>
    <xf numFmtId="0" fontId="0" fillId="0" borderId="1" xfId="0" applyFill="1" applyBorder="1" applyAlignment="1">
      <alignment vertical="top" wrapText="1"/>
    </xf>
    <xf numFmtId="49" fontId="29" fillId="0" borderId="3" xfId="0" applyNumberFormat="1" applyFont="1" applyFill="1" applyBorder="1"/>
    <xf numFmtId="49" fontId="1" fillId="0" borderId="1" xfId="0" applyNumberFormat="1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 wrapText="1"/>
    </xf>
    <xf numFmtId="0" fontId="1" fillId="16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5" fillId="16" borderId="1" xfId="0" applyFont="1" applyFill="1" applyBorder="1" applyAlignment="1">
      <alignment wrapText="1"/>
    </xf>
    <xf numFmtId="49" fontId="5" fillId="0" borderId="1" xfId="0" applyNumberFormat="1" applyFont="1" applyFill="1" applyBorder="1" applyAlignment="1">
      <alignment wrapText="1"/>
    </xf>
    <xf numFmtId="0" fontId="5" fillId="0" borderId="1" xfId="0" applyFont="1" applyFill="1" applyBorder="1" applyAlignment="1">
      <alignment horizontal="center" wrapText="1"/>
    </xf>
    <xf numFmtId="0" fontId="5" fillId="0" borderId="0" xfId="0" applyFont="1" applyFill="1" applyAlignment="1">
      <alignment wrapText="1"/>
    </xf>
    <xf numFmtId="0" fontId="4" fillId="0" borderId="4" xfId="0" applyFont="1" applyFill="1" applyBorder="1"/>
    <xf numFmtId="0" fontId="5" fillId="0" borderId="4" xfId="0" applyFont="1" applyFill="1" applyBorder="1" applyAlignment="1">
      <alignment wrapText="1"/>
    </xf>
    <xf numFmtId="0" fontId="1" fillId="0" borderId="4" xfId="0" applyFont="1" applyBorder="1" applyAlignment="1">
      <alignment horizontal="center"/>
    </xf>
    <xf numFmtId="0" fontId="5" fillId="0" borderId="4" xfId="0" applyFont="1" applyBorder="1" applyAlignment="1">
      <alignment wrapText="1"/>
    </xf>
    <xf numFmtId="0" fontId="5" fillId="16" borderId="4" xfId="0" applyFont="1" applyFill="1" applyBorder="1" applyAlignment="1">
      <alignment wrapText="1"/>
    </xf>
    <xf numFmtId="49" fontId="5" fillId="0" borderId="4" xfId="0" applyNumberFormat="1" applyFont="1" applyFill="1" applyBorder="1" applyAlignment="1">
      <alignment wrapText="1"/>
    </xf>
    <xf numFmtId="0" fontId="1" fillId="0" borderId="27" xfId="0" applyFont="1" applyBorder="1" applyAlignment="1">
      <alignment wrapText="1"/>
    </xf>
    <xf numFmtId="0" fontId="5" fillId="0" borderId="27" xfId="0" applyFont="1" applyBorder="1" applyAlignment="1">
      <alignment wrapText="1"/>
    </xf>
    <xf numFmtId="0" fontId="4" fillId="0" borderId="27" xfId="0" applyFont="1" applyFill="1" applyBorder="1"/>
    <xf numFmtId="0" fontId="1" fillId="0" borderId="27" xfId="0" applyFont="1" applyFill="1" applyBorder="1"/>
    <xf numFmtId="0" fontId="5" fillId="0" borderId="27" xfId="0" applyFont="1" applyFill="1" applyBorder="1" applyAlignment="1">
      <alignment wrapText="1"/>
    </xf>
    <xf numFmtId="0" fontId="1" fillId="0" borderId="27" xfId="0" applyFont="1" applyBorder="1" applyAlignment="1">
      <alignment horizontal="center"/>
    </xf>
    <xf numFmtId="0" fontId="5" fillId="16" borderId="27" xfId="0" applyFont="1" applyFill="1" applyBorder="1" applyAlignment="1">
      <alignment wrapText="1"/>
    </xf>
    <xf numFmtId="49" fontId="5" fillId="0" borderId="27" xfId="0" applyNumberFormat="1" applyFont="1" applyFill="1" applyBorder="1" applyAlignment="1">
      <alignment wrapText="1"/>
    </xf>
    <xf numFmtId="0" fontId="5" fillId="0" borderId="29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4" fillId="0" borderId="3" xfId="0" applyFont="1" applyFill="1" applyBorder="1"/>
    <xf numFmtId="0" fontId="1" fillId="0" borderId="3" xfId="0" applyFont="1" applyFill="1" applyBorder="1"/>
    <xf numFmtId="0" fontId="5" fillId="0" borderId="3" xfId="0" applyFont="1" applyFill="1" applyBorder="1" applyAlignment="1">
      <alignment wrapText="1"/>
    </xf>
    <xf numFmtId="0" fontId="1" fillId="0" borderId="3" xfId="0" applyFont="1" applyBorder="1" applyAlignment="1">
      <alignment horizontal="center"/>
    </xf>
    <xf numFmtId="0" fontId="5" fillId="16" borderId="3" xfId="0" applyFont="1" applyFill="1" applyBorder="1" applyAlignment="1">
      <alignment wrapText="1"/>
    </xf>
    <xf numFmtId="49" fontId="5" fillId="0" borderId="3" xfId="0" applyNumberFormat="1" applyFont="1" applyFill="1" applyBorder="1" applyAlignment="1">
      <alignment wrapText="1"/>
    </xf>
    <xf numFmtId="4" fontId="25" fillId="0" borderId="25" xfId="0" applyNumberFormat="1" applyFont="1" applyFill="1" applyBorder="1" applyAlignment="1">
      <alignment horizontal="center"/>
    </xf>
    <xf numFmtId="4" fontId="25" fillId="0" borderId="26" xfId="0" applyNumberFormat="1" applyFont="1" applyFill="1" applyBorder="1" applyAlignment="1">
      <alignment horizontal="center"/>
    </xf>
    <xf numFmtId="4" fontId="25" fillId="0" borderId="28" xfId="0" applyNumberFormat="1" applyFont="1" applyFill="1" applyBorder="1" applyAlignment="1">
      <alignment horizontal="center"/>
    </xf>
    <xf numFmtId="4" fontId="25" fillId="0" borderId="30" xfId="0" applyNumberFormat="1" applyFont="1" applyFill="1" applyBorder="1" applyAlignment="1">
      <alignment horizontal="center"/>
    </xf>
    <xf numFmtId="4" fontId="30" fillId="0" borderId="25" xfId="0" applyNumberFormat="1" applyFont="1" applyFill="1" applyBorder="1" applyAlignment="1">
      <alignment horizontal="center"/>
    </xf>
    <xf numFmtId="0" fontId="4" fillId="0" borderId="4" xfId="0" applyFont="1" applyBorder="1"/>
    <xf numFmtId="0" fontId="10" fillId="0" borderId="0" xfId="0" applyFont="1" applyAlignment="1">
      <alignment horizontal="left"/>
    </xf>
    <xf numFmtId="0" fontId="15" fillId="0" borderId="1" xfId="0" applyFont="1" applyFill="1" applyBorder="1" applyAlignment="1">
      <alignment horizontal="left"/>
    </xf>
    <xf numFmtId="0" fontId="13" fillId="0" borderId="0" xfId="0" applyFont="1" applyFill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27" fillId="0" borderId="22" xfId="4" applyFont="1" applyFill="1" applyBorder="1" applyAlignment="1">
      <alignment horizontal="center" wrapText="1"/>
    </xf>
    <xf numFmtId="0" fontId="28" fillId="0" borderId="22" xfId="4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25" fillId="0" borderId="1" xfId="0" applyFont="1" applyFill="1" applyBorder="1" applyAlignment="1">
      <alignment horizontal="center" wrapText="1"/>
    </xf>
    <xf numFmtId="0" fontId="25" fillId="0" borderId="1" xfId="0" applyNumberFormat="1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 wrapText="1"/>
    </xf>
    <xf numFmtId="0" fontId="25" fillId="0" borderId="1" xfId="0" applyFont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9" xfId="2" applyFont="1" applyBorder="1" applyAlignment="1"/>
    <xf numFmtId="0" fontId="27" fillId="0" borderId="22" xfId="4" applyFont="1" applyFill="1" applyBorder="1" applyAlignment="1"/>
    <xf numFmtId="0" fontId="28" fillId="0" borderId="22" xfId="4" applyFont="1" applyBorder="1" applyAlignment="1"/>
    <xf numFmtId="0" fontId="5" fillId="0" borderId="8" xfId="2" applyFont="1" applyBorder="1" applyAlignment="1">
      <alignment horizontal="left"/>
    </xf>
    <xf numFmtId="0" fontId="3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wrapText="1"/>
    </xf>
    <xf numFmtId="0" fontId="21" fillId="0" borderId="20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8" xfId="2" applyFont="1" applyBorder="1" applyAlignment="1">
      <alignment horizontal="right"/>
    </xf>
    <xf numFmtId="49" fontId="13" fillId="0" borderId="1" xfId="1" applyNumberFormat="1" applyFont="1" applyBorder="1" applyAlignment="1">
      <alignment horizontal="right"/>
    </xf>
    <xf numFmtId="0" fontId="2" fillId="8" borderId="2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left" wrapText="1"/>
    </xf>
    <xf numFmtId="0" fontId="3" fillId="2" borderId="7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left" vertical="top" wrapText="1"/>
    </xf>
    <xf numFmtId="0" fontId="2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vertical="center"/>
    </xf>
    <xf numFmtId="0" fontId="2" fillId="5" borderId="1" xfId="0" applyFont="1" applyFill="1" applyBorder="1" applyAlignment="1"/>
    <xf numFmtId="0" fontId="1" fillId="0" borderId="8" xfId="2" applyFont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/>
    </xf>
    <xf numFmtId="0" fontId="25" fillId="0" borderId="4" xfId="0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right" vertical="center" wrapText="1"/>
    </xf>
    <xf numFmtId="0" fontId="5" fillId="0" borderId="3" xfId="0" applyFont="1" applyFill="1" applyBorder="1" applyAlignment="1">
      <alignment horizontal="righ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</cellXfs>
  <cellStyles count="5">
    <cellStyle name="Excel Built-in Normal" xfId="2"/>
    <cellStyle name="Обычный" xfId="0" builtinId="0"/>
    <cellStyle name="Обычный 2" xfId="4"/>
    <cellStyle name="Обычный_Лист1" xfId="3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0;&#1085;&#1082;&#1077;&#1090;&#1072;_&#1046;&#1050;&#1057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4;&#1058;&#1063;&#1025;&#1058;&#1067;%20&#1051;&#1077;&#1085;&#1101;&#1085;&#1077;&#1088;&#1075;&#1086;\&#1046;&#1050;%20&#1058;&#1091;&#1088;&#1082;&#1091;%2029\2013\01_13-&#1058;&#1091;&#1088;&#1082;&#1091;%202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4;&#1058;&#1063;&#1025;&#1058;&#1067;%20&#1051;&#1077;&#1085;&#1101;&#1085;&#1077;&#1088;&#1075;&#1086;\&#1046;&#1050;%20&#1058;&#1091;&#1088;&#1082;&#1091;%2029\2013\02_13-&#1058;&#1091;&#1088;&#1082;&#1091;%202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4;&#1058;&#1063;&#1025;&#1058;&#1067;%20&#1051;&#1077;&#1085;&#1101;&#1085;&#1077;&#1088;&#1075;&#1086;\&#1046;&#1050;%20&#1058;&#1091;&#1088;&#1082;&#1091;%2029\2013\03_13-&#1058;&#1091;&#1088;&#1082;&#1091;%202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4;&#1058;&#1063;&#1025;&#1058;&#1067;%20&#1051;&#1077;&#1085;&#1101;&#1085;&#1077;&#1088;&#1075;&#1086;\&#1046;&#1050;%20&#1058;&#1091;&#1088;&#1082;&#1091;%2029\2013\04_13-&#1058;&#1091;&#1088;&#1082;&#1091;%202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4;&#1058;&#1063;&#1025;&#1058;&#1067;%20&#1051;&#1077;&#1085;&#1101;&#1085;&#1077;&#1088;&#1075;&#1086;\&#1046;&#1050;%20&#1058;&#1091;&#1088;&#1082;&#1091;%2029\2013\05_13-&#1058;&#1091;&#1088;&#1082;&#1091;%202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4;&#1058;&#1063;&#1025;&#1058;&#1067;%20&#1051;&#1077;&#1085;&#1101;&#1085;&#1077;&#1088;&#1075;&#1086;\&#1046;&#1050;%20&#1058;&#1091;&#1088;&#1082;&#1091;%2029\2013\10_13-&#1058;&#1091;&#1088;&#1082;&#1091;%202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4;&#1058;&#1063;&#1025;&#1058;&#1067;%20&#1051;&#1077;&#1085;&#1101;&#1085;&#1077;&#1088;&#1075;&#1086;\&#1046;&#1050;%20&#1058;&#1091;&#1088;&#1082;&#1091;%2029\2013\11_13-&#1058;&#1091;&#1088;&#1082;&#1091;%202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4;&#1058;&#1063;&#1025;&#1058;&#1067;%20&#1051;&#1077;&#1085;&#1101;&#1085;&#1077;&#1088;&#1075;&#1086;\&#1046;&#1050;%20&#1058;&#1091;&#1088;&#1082;&#1091;%2029\2013\12_13-&#1058;&#1091;&#1088;&#1082;&#1091;%202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ф. о МДК (прил. 1)"/>
      <sheetName val="Примечания 1"/>
      <sheetName val="ТЭ (прил. 2.1)"/>
      <sheetName val="ЭЭ (прил. 2.2)"/>
      <sheetName val="Лист1"/>
    </sheetNames>
    <sheetDataSet>
      <sheetData sheetId="0" refreshError="1"/>
      <sheetData sheetId="1" refreshError="1"/>
      <sheetData sheetId="2">
        <row r="49">
          <cell r="AY49">
            <v>1</v>
          </cell>
        </row>
        <row r="51">
          <cell r="AY51">
            <v>1</v>
          </cell>
        </row>
        <row r="52">
          <cell r="AY52">
            <v>1</v>
          </cell>
        </row>
        <row r="53">
          <cell r="AY53">
            <v>2</v>
          </cell>
        </row>
        <row r="54">
          <cell r="AY54">
            <v>4</v>
          </cell>
        </row>
        <row r="55">
          <cell r="AY55">
            <v>1</v>
          </cell>
        </row>
        <row r="57">
          <cell r="AY57">
            <v>4</v>
          </cell>
        </row>
        <row r="59">
          <cell r="AY59">
            <v>1</v>
          </cell>
        </row>
        <row r="60">
          <cell r="AY60">
            <v>1</v>
          </cell>
        </row>
        <row r="62">
          <cell r="AY62">
            <v>1</v>
          </cell>
        </row>
        <row r="66">
          <cell r="AY66">
            <v>3</v>
          </cell>
        </row>
        <row r="67">
          <cell r="AY67">
            <v>5</v>
          </cell>
        </row>
        <row r="68">
          <cell r="AY68">
            <v>3</v>
          </cell>
        </row>
        <row r="69">
          <cell r="AY69">
            <v>3</v>
          </cell>
        </row>
        <row r="71">
          <cell r="AY71">
            <v>1</v>
          </cell>
        </row>
        <row r="72">
          <cell r="AY72">
            <v>1</v>
          </cell>
        </row>
        <row r="73">
          <cell r="AY73">
            <v>1</v>
          </cell>
        </row>
        <row r="74">
          <cell r="AY74">
            <v>1</v>
          </cell>
        </row>
        <row r="75">
          <cell r="AY75">
            <v>1</v>
          </cell>
        </row>
        <row r="76">
          <cell r="AY76">
            <v>2</v>
          </cell>
        </row>
        <row r="77">
          <cell r="AY77">
            <v>1</v>
          </cell>
        </row>
        <row r="78">
          <cell r="AY78">
            <v>2</v>
          </cell>
        </row>
        <row r="79">
          <cell r="AY79">
            <v>2</v>
          </cell>
        </row>
        <row r="81">
          <cell r="AY81">
            <v>2</v>
          </cell>
        </row>
        <row r="82">
          <cell r="AY82">
            <v>2</v>
          </cell>
        </row>
        <row r="84">
          <cell r="AY84">
            <v>3</v>
          </cell>
        </row>
        <row r="89">
          <cell r="AY89">
            <v>1</v>
          </cell>
        </row>
        <row r="91">
          <cell r="AY91">
            <v>1</v>
          </cell>
        </row>
        <row r="92">
          <cell r="AY92">
            <v>1</v>
          </cell>
        </row>
        <row r="94">
          <cell r="AY94">
            <v>1</v>
          </cell>
        </row>
        <row r="95">
          <cell r="AY95">
            <v>1</v>
          </cell>
        </row>
        <row r="100">
          <cell r="AY100">
            <v>1</v>
          </cell>
        </row>
        <row r="101">
          <cell r="AY101">
            <v>1</v>
          </cell>
        </row>
        <row r="102">
          <cell r="AY102">
            <v>1</v>
          </cell>
        </row>
        <row r="103">
          <cell r="AY103">
            <v>1</v>
          </cell>
        </row>
        <row r="109">
          <cell r="AY109">
            <v>1</v>
          </cell>
        </row>
        <row r="110">
          <cell r="AY110">
            <v>1</v>
          </cell>
        </row>
        <row r="111">
          <cell r="AY111">
            <v>1</v>
          </cell>
        </row>
        <row r="112">
          <cell r="AY112">
            <v>2</v>
          </cell>
        </row>
        <row r="113">
          <cell r="AY113">
            <v>1</v>
          </cell>
        </row>
        <row r="114">
          <cell r="AY114">
            <v>1</v>
          </cell>
        </row>
        <row r="115">
          <cell r="AY115">
            <v>1</v>
          </cell>
        </row>
        <row r="116">
          <cell r="AY116">
            <v>1</v>
          </cell>
        </row>
        <row r="117">
          <cell r="AY117">
            <v>1</v>
          </cell>
        </row>
        <row r="118">
          <cell r="AY118">
            <v>1</v>
          </cell>
        </row>
        <row r="119">
          <cell r="AY119">
            <v>1</v>
          </cell>
        </row>
        <row r="120">
          <cell r="AY120">
            <v>1</v>
          </cell>
        </row>
        <row r="121">
          <cell r="AY121">
            <v>2</v>
          </cell>
        </row>
        <row r="122">
          <cell r="AY122">
            <v>1</v>
          </cell>
        </row>
        <row r="123">
          <cell r="AY123">
            <v>2</v>
          </cell>
        </row>
        <row r="124">
          <cell r="AY124">
            <v>1</v>
          </cell>
        </row>
        <row r="125">
          <cell r="AY125">
            <v>1</v>
          </cell>
        </row>
        <row r="126">
          <cell r="AY126">
            <v>1</v>
          </cell>
        </row>
        <row r="127">
          <cell r="AY127">
            <v>1</v>
          </cell>
        </row>
        <row r="128">
          <cell r="AY128">
            <v>1</v>
          </cell>
        </row>
        <row r="129">
          <cell r="AY129">
            <v>1</v>
          </cell>
        </row>
        <row r="131">
          <cell r="AY131">
            <v>1</v>
          </cell>
        </row>
        <row r="132">
          <cell r="AY132">
            <v>1</v>
          </cell>
        </row>
        <row r="133">
          <cell r="AY133">
            <v>2</v>
          </cell>
        </row>
        <row r="134">
          <cell r="AY134">
            <v>1</v>
          </cell>
        </row>
        <row r="135">
          <cell r="AY135">
            <v>1</v>
          </cell>
        </row>
        <row r="137">
          <cell r="AY137">
            <v>1</v>
          </cell>
        </row>
        <row r="138">
          <cell r="AY138">
            <v>1</v>
          </cell>
        </row>
        <row r="142">
          <cell r="AY142">
            <v>5</v>
          </cell>
        </row>
        <row r="144">
          <cell r="AY144">
            <v>5</v>
          </cell>
        </row>
        <row r="146">
          <cell r="AY146">
            <v>1</v>
          </cell>
        </row>
        <row r="149">
          <cell r="AY149">
            <v>1</v>
          </cell>
        </row>
        <row r="150">
          <cell r="AY150">
            <v>1</v>
          </cell>
        </row>
        <row r="151">
          <cell r="AY151">
            <v>1</v>
          </cell>
        </row>
        <row r="152">
          <cell r="AY152">
            <v>1</v>
          </cell>
        </row>
        <row r="154">
          <cell r="AY154">
            <v>4</v>
          </cell>
        </row>
        <row r="155">
          <cell r="AY155">
            <v>1</v>
          </cell>
        </row>
        <row r="156">
          <cell r="AY156">
            <v>1</v>
          </cell>
        </row>
        <row r="157">
          <cell r="AY157">
            <v>2</v>
          </cell>
        </row>
        <row r="161">
          <cell r="AY161">
            <v>1</v>
          </cell>
        </row>
        <row r="162">
          <cell r="AY162">
            <v>1</v>
          </cell>
        </row>
        <row r="163">
          <cell r="AY163">
            <v>1</v>
          </cell>
        </row>
        <row r="164">
          <cell r="AY164">
            <v>1</v>
          </cell>
        </row>
        <row r="165">
          <cell r="AY165">
            <v>1</v>
          </cell>
        </row>
        <row r="166">
          <cell r="AY166">
            <v>1</v>
          </cell>
        </row>
        <row r="167">
          <cell r="AY167">
            <v>1</v>
          </cell>
        </row>
        <row r="168">
          <cell r="AY168">
            <v>1</v>
          </cell>
        </row>
        <row r="169">
          <cell r="AY169">
            <v>1</v>
          </cell>
        </row>
        <row r="170">
          <cell r="AY170">
            <v>1</v>
          </cell>
        </row>
        <row r="171">
          <cell r="AY171">
            <v>5</v>
          </cell>
        </row>
        <row r="172">
          <cell r="AY172">
            <v>1</v>
          </cell>
        </row>
        <row r="173">
          <cell r="AY173">
            <v>1</v>
          </cell>
        </row>
        <row r="178">
          <cell r="AY178">
            <v>0</v>
          </cell>
        </row>
        <row r="182">
          <cell r="AY182">
            <v>0</v>
          </cell>
        </row>
        <row r="183">
          <cell r="AY183">
            <v>0</v>
          </cell>
        </row>
        <row r="184">
          <cell r="AY184">
            <v>0</v>
          </cell>
        </row>
        <row r="185">
          <cell r="AY185">
            <v>0</v>
          </cell>
        </row>
        <row r="186">
          <cell r="AY186">
            <v>0</v>
          </cell>
        </row>
        <row r="187">
          <cell r="AY187">
            <v>0</v>
          </cell>
        </row>
        <row r="188">
          <cell r="AY188">
            <v>0</v>
          </cell>
        </row>
        <row r="189">
          <cell r="AY189">
            <v>1</v>
          </cell>
        </row>
        <row r="190">
          <cell r="AY190">
            <v>1</v>
          </cell>
        </row>
        <row r="191">
          <cell r="AY191">
            <v>1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урку29_03693_тв2"/>
      <sheetName val=" ТСЖ Турку 291 ГВС"/>
      <sheetName val="1"/>
      <sheetName val=" ТСЖ Турку 291 ТЦ 1"/>
      <sheetName val="2"/>
      <sheetName val=" ТСЖ Турку 291 ТЦ 2"/>
      <sheetName val="3"/>
      <sheetName val=" ТСЖ Турку 291 ТЦ 3"/>
      <sheetName val="4"/>
      <sheetName val=" ТСЖ Турку 291 ТЦ 4"/>
    </sheetNames>
    <sheetDataSet>
      <sheetData sheetId="0" refreshError="1"/>
      <sheetData sheetId="1" refreshError="1"/>
      <sheetData sheetId="2" refreshError="1"/>
      <sheetData sheetId="3" refreshError="1">
        <row r="63">
          <cell r="O63">
            <v>637.50314755850218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урку29_03693_тв2"/>
      <sheetName val=" ТСЖ Турку 291 ГВС"/>
      <sheetName val="1"/>
      <sheetName val=" ТСЖ Турку 291 ТЦ 1"/>
      <sheetName val="2"/>
      <sheetName val=" ТСЖ Турку 291 ТЦ 2"/>
      <sheetName val="3"/>
      <sheetName val=" ТСЖ Турку 291 ТЦ 3"/>
      <sheetName val="4"/>
      <sheetName val=" ТСЖ Турку 291 ТЦ 4"/>
    </sheetNames>
    <sheetDataSet>
      <sheetData sheetId="0" refreshError="1"/>
      <sheetData sheetId="1" refreshError="1"/>
      <sheetData sheetId="2" refreshError="1"/>
      <sheetData sheetId="3" refreshError="1">
        <row r="56">
          <cell r="N56">
            <v>377.49444131971632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ТСЖ Турку 291 ГВС"/>
      <sheetName val=" ТСЖ Турку 291 ТЦ 1"/>
      <sheetName val=" ТСЖ Турку 291 ТЦ 2"/>
      <sheetName val="3"/>
      <sheetName val=" ТСЖ Турку 291 ТЦ 3"/>
      <sheetName val=" ТСЖ Турку 291 ТЦ 4"/>
    </sheetNames>
    <sheetDataSet>
      <sheetData sheetId="0" refreshError="1"/>
      <sheetData sheetId="1" refreshError="1">
        <row r="61">
          <cell r="N61">
            <v>658.24369112437978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ТСЖ Турку 291 ГВС"/>
      <sheetName val=" ТСЖ Турку 291 ТЦ 1"/>
      <sheetName val=" ТСЖ Турку 291 ТЦ 2"/>
      <sheetName val="3"/>
      <sheetName val=" ТСЖ Турку 291 ТЦ 3"/>
      <sheetName val=" ТСЖ Турку 291 ТЦ 4"/>
    </sheetNames>
    <sheetDataSet>
      <sheetData sheetId="0" refreshError="1"/>
      <sheetData sheetId="1" refreshError="1">
        <row r="63">
          <cell r="N63">
            <v>209.07541722635409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СЖ &quot;Турку 29&quot; ИТП4"/>
      <sheetName val="3"/>
      <sheetName val="ИТП3"/>
      <sheetName val="ТСЖ &quot;Турку 29&quot; ИТП1-ГВС"/>
      <sheetName val="ТСЖ &quot;Турку 29&quot; ИТП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1">
          <cell r="P61">
            <v>52.233074145922714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СЖ &quot;Турку 29&quot; ИТП1-ГВС"/>
      <sheetName val="ТСЖ &quot;Турку 29&quot; ИТП2"/>
      <sheetName val="ТЦ-3"/>
      <sheetName val=" ТСЖ Турку 291 ТЦ 3"/>
      <sheetName val="ТСЖ &quot;Турку 29&quot; ИТП4"/>
    </sheetNames>
    <sheetDataSet>
      <sheetData sheetId="0" refreshError="1">
        <row r="62">
          <cell r="O62">
            <v>382.7325080270308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СЖ &quot;Турку 29&quot; ИТП1-ГВС"/>
      <sheetName val="ТСЖ &quot;Турку 29&quot; ИТП2"/>
      <sheetName val="ИТП3"/>
      <sheetName val="3"/>
      <sheetName val="ТСЖ &quot;Турку 29&quot; ИТП4"/>
    </sheetNames>
    <sheetDataSet>
      <sheetData sheetId="0" refreshError="1">
        <row r="62">
          <cell r="P62">
            <v>272.81264337290008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СЖ &quot;Турку 29&quot; ИТП1-ГВС"/>
      <sheetName val="ТСЖ &quot;Турку 29&quot; ИТП2"/>
      <sheetName val="турку29 26974 сут"/>
      <sheetName val="ТСЖ &quot;Турку 29&quot; ИТП3"/>
      <sheetName val="ТСЖ &quot;Турку 29&quot; ИТП4"/>
    </sheetNames>
    <sheetDataSet>
      <sheetData sheetId="0" refreshError="1">
        <row r="62">
          <cell r="N62">
            <v>436.48402641623295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84"/>
  <sheetViews>
    <sheetView tabSelected="1" topLeftCell="A759" zoomScale="50" zoomScaleNormal="50" zoomScaleSheetLayoutView="30" workbookViewId="0">
      <selection activeCell="A782" sqref="A782"/>
    </sheetView>
  </sheetViews>
  <sheetFormatPr defaultColWidth="9.109375" defaultRowHeight="32.25" customHeight="1" x14ac:dyDescent="0.3"/>
  <cols>
    <col min="1" max="1" width="5.44140625" style="1" customWidth="1"/>
    <col min="2" max="3" width="9.6640625" style="3" customWidth="1"/>
    <col min="4" max="5" width="9.6640625" style="1" customWidth="1"/>
    <col min="6" max="7" width="10.88671875" style="1" customWidth="1"/>
    <col min="8" max="8" width="11.33203125" style="3" customWidth="1"/>
    <col min="9" max="9" width="9.6640625" style="1" customWidth="1"/>
    <col min="10" max="10" width="20.6640625" style="1" customWidth="1"/>
    <col min="11" max="12" width="9.6640625" style="3" customWidth="1"/>
    <col min="13" max="13" width="9.6640625" style="1" customWidth="1"/>
    <col min="14" max="14" width="9.33203125" style="1" customWidth="1"/>
    <col min="15" max="16" width="17.44140625" style="1" customWidth="1"/>
    <col min="17" max="18" width="11.44140625" style="1" customWidth="1"/>
    <col min="19" max="19" width="11.109375" style="1" customWidth="1"/>
    <col min="20" max="20" width="12.109375" style="1" customWidth="1"/>
    <col min="21" max="21" width="13.33203125" style="1" customWidth="1"/>
    <col min="22" max="22" width="15.88671875" style="1" customWidth="1"/>
    <col min="23" max="23" width="9.6640625" style="1" customWidth="1"/>
    <col min="24" max="25" width="9.109375" style="1" customWidth="1"/>
    <col min="26" max="28" width="9.6640625" style="1" customWidth="1"/>
    <col min="29" max="30" width="8.6640625" style="1" customWidth="1"/>
    <col min="31" max="32" width="8.88671875" style="1" customWidth="1"/>
    <col min="33" max="37" width="7.44140625" style="1" customWidth="1"/>
    <col min="38" max="38" width="16.33203125" style="1" customWidth="1"/>
    <col min="39" max="16384" width="9.109375" style="1"/>
  </cols>
  <sheetData>
    <row r="1" spans="1:38" ht="32.25" customHeight="1" x14ac:dyDescent="0.3">
      <c r="A1" s="1" t="s">
        <v>26</v>
      </c>
      <c r="AE1" s="2"/>
      <c r="AF1" s="2"/>
    </row>
    <row r="2" spans="1:38" ht="32.25" customHeight="1" x14ac:dyDescent="0.3">
      <c r="A2" s="30" t="s">
        <v>113</v>
      </c>
      <c r="C2" s="171"/>
      <c r="AE2" s="2"/>
      <c r="AF2" s="2"/>
    </row>
    <row r="3" spans="1:38" ht="32.25" customHeight="1" x14ac:dyDescent="0.3">
      <c r="A3" s="30" t="s">
        <v>1740</v>
      </c>
      <c r="C3" s="171"/>
      <c r="AE3" s="2"/>
      <c r="AF3" s="2"/>
    </row>
    <row r="4" spans="1:38" ht="32.25" customHeight="1" x14ac:dyDescent="0.3">
      <c r="A4" s="21"/>
      <c r="B4" s="305" t="s">
        <v>128</v>
      </c>
      <c r="AE4" s="2"/>
      <c r="AF4" s="2"/>
    </row>
    <row r="5" spans="1:38" s="33" customFormat="1" ht="32.25" customHeight="1" x14ac:dyDescent="0.3">
      <c r="A5" s="74" t="s">
        <v>22</v>
      </c>
      <c r="B5" s="75" t="s">
        <v>59</v>
      </c>
      <c r="C5" s="76"/>
      <c r="D5" s="76"/>
      <c r="E5" s="76"/>
      <c r="F5" s="76"/>
      <c r="G5" s="76"/>
      <c r="H5" s="76"/>
      <c r="I5" s="76"/>
      <c r="J5" s="77"/>
      <c r="K5" s="292" t="s">
        <v>58</v>
      </c>
      <c r="L5" s="299"/>
      <c r="M5" s="293"/>
      <c r="N5" s="293"/>
      <c r="O5" s="293"/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293"/>
      <c r="AA5" s="293"/>
      <c r="AB5" s="293"/>
      <c r="AC5" s="293"/>
      <c r="AD5" s="293"/>
      <c r="AE5" s="293"/>
      <c r="AF5" s="294"/>
      <c r="AG5" s="389" t="s">
        <v>82</v>
      </c>
      <c r="AH5" s="390"/>
      <c r="AI5" s="390"/>
      <c r="AJ5" s="390"/>
      <c r="AK5" s="391"/>
      <c r="AL5" s="392" t="s">
        <v>123</v>
      </c>
    </row>
    <row r="6" spans="1:38" s="38" customFormat="1" ht="32.25" customHeight="1" x14ac:dyDescent="0.3">
      <c r="A6" s="74"/>
      <c r="B6" s="296" t="s">
        <v>0</v>
      </c>
      <c r="C6" s="74" t="s">
        <v>114</v>
      </c>
      <c r="D6" s="74" t="s">
        <v>1</v>
      </c>
      <c r="E6" s="34" t="s">
        <v>60</v>
      </c>
      <c r="F6" s="74" t="s">
        <v>154</v>
      </c>
      <c r="G6" s="74" t="s">
        <v>19</v>
      </c>
      <c r="H6" s="74" t="s">
        <v>159</v>
      </c>
      <c r="I6" s="74" t="s">
        <v>41</v>
      </c>
      <c r="J6" s="79" t="s">
        <v>153</v>
      </c>
      <c r="K6" s="295" t="s">
        <v>20</v>
      </c>
      <c r="L6" s="295" t="s">
        <v>21</v>
      </c>
      <c r="M6" s="295" t="s">
        <v>131</v>
      </c>
      <c r="N6" s="295" t="s">
        <v>17</v>
      </c>
      <c r="O6" s="35" t="s">
        <v>135</v>
      </c>
      <c r="P6" s="35" t="s">
        <v>134</v>
      </c>
      <c r="Q6" s="295" t="s">
        <v>129</v>
      </c>
      <c r="R6" s="295" t="s">
        <v>130</v>
      </c>
      <c r="S6" s="26" t="s">
        <v>23</v>
      </c>
      <c r="T6" s="26" t="s">
        <v>40</v>
      </c>
      <c r="U6" s="26" t="s">
        <v>18</v>
      </c>
      <c r="V6" s="26" t="s">
        <v>55</v>
      </c>
      <c r="W6" s="36" t="s">
        <v>38</v>
      </c>
      <c r="X6" s="36" t="s">
        <v>31</v>
      </c>
      <c r="Y6" s="36" t="s">
        <v>32</v>
      </c>
      <c r="Z6" s="36" t="s">
        <v>34</v>
      </c>
      <c r="AA6" s="37" t="s">
        <v>25</v>
      </c>
      <c r="AB6" s="37" t="s">
        <v>35</v>
      </c>
      <c r="AC6" s="37" t="s">
        <v>56</v>
      </c>
      <c r="AD6" s="37" t="s">
        <v>112</v>
      </c>
      <c r="AE6" s="37" t="s">
        <v>36</v>
      </c>
      <c r="AF6" s="37" t="s">
        <v>39</v>
      </c>
      <c r="AG6" s="66" t="s">
        <v>132</v>
      </c>
      <c r="AH6" s="66" t="s">
        <v>61</v>
      </c>
      <c r="AI6" s="66" t="s">
        <v>62</v>
      </c>
      <c r="AJ6" s="66" t="s">
        <v>133</v>
      </c>
      <c r="AK6" s="66" t="s">
        <v>63</v>
      </c>
      <c r="AL6" s="393"/>
    </row>
    <row r="7" spans="1:38" s="32" customFormat="1" ht="32.25" customHeight="1" x14ac:dyDescent="0.3">
      <c r="A7" s="61">
        <v>1</v>
      </c>
      <c r="B7" s="172">
        <v>2</v>
      </c>
      <c r="C7" s="172">
        <v>3</v>
      </c>
      <c r="D7" s="61">
        <v>4</v>
      </c>
      <c r="E7" s="61">
        <v>5</v>
      </c>
      <c r="F7" s="61">
        <v>6</v>
      </c>
      <c r="G7" s="61">
        <v>7</v>
      </c>
      <c r="H7" s="172">
        <v>8</v>
      </c>
      <c r="I7" s="61">
        <v>9</v>
      </c>
      <c r="J7" s="61">
        <v>10</v>
      </c>
      <c r="K7" s="170">
        <v>11</v>
      </c>
      <c r="L7" s="170">
        <v>12</v>
      </c>
      <c r="M7" s="62">
        <v>13</v>
      </c>
      <c r="N7" s="62">
        <v>14</v>
      </c>
      <c r="O7" s="62">
        <v>15</v>
      </c>
      <c r="P7" s="62">
        <v>16</v>
      </c>
      <c r="Q7" s="62">
        <v>17</v>
      </c>
      <c r="R7" s="62">
        <v>18</v>
      </c>
      <c r="S7" s="64">
        <v>19</v>
      </c>
      <c r="T7" s="64">
        <v>20</v>
      </c>
      <c r="U7" s="64">
        <v>21</v>
      </c>
      <c r="V7" s="64">
        <v>22</v>
      </c>
      <c r="W7" s="65">
        <v>23</v>
      </c>
      <c r="X7" s="65">
        <v>24</v>
      </c>
      <c r="Y7" s="65">
        <v>25</v>
      </c>
      <c r="Z7" s="65">
        <v>26</v>
      </c>
      <c r="AA7" s="65">
        <v>27</v>
      </c>
      <c r="AB7" s="65">
        <v>28</v>
      </c>
      <c r="AC7" s="65">
        <v>29</v>
      </c>
      <c r="AD7" s="65">
        <v>30</v>
      </c>
      <c r="AE7" s="65">
        <v>31</v>
      </c>
      <c r="AF7" s="36">
        <v>32</v>
      </c>
      <c r="AG7" s="63">
        <v>33</v>
      </c>
      <c r="AH7" s="63">
        <v>34</v>
      </c>
      <c r="AI7" s="63">
        <v>35</v>
      </c>
      <c r="AJ7" s="63">
        <v>36</v>
      </c>
      <c r="AK7" s="63">
        <v>37</v>
      </c>
      <c r="AL7" s="45">
        <v>38</v>
      </c>
    </row>
    <row r="8" spans="1:38" ht="32.25" customHeight="1" x14ac:dyDescent="0.3">
      <c r="A8" s="5">
        <v>1</v>
      </c>
      <c r="B8" s="11" t="s">
        <v>196</v>
      </c>
      <c r="C8" s="11" t="s">
        <v>197</v>
      </c>
      <c r="D8" s="11" t="s">
        <v>198</v>
      </c>
      <c r="E8" s="11">
        <v>51</v>
      </c>
      <c r="F8" s="11">
        <v>2</v>
      </c>
      <c r="G8" s="11"/>
      <c r="H8" s="84" t="s">
        <v>285</v>
      </c>
      <c r="I8" s="131" t="s">
        <v>212</v>
      </c>
      <c r="J8" s="131"/>
      <c r="K8" s="131" t="s">
        <v>199</v>
      </c>
      <c r="L8" s="131">
        <v>137</v>
      </c>
      <c r="M8" s="131">
        <v>1982</v>
      </c>
      <c r="N8" s="131" t="s">
        <v>200</v>
      </c>
      <c r="O8" s="323" t="s">
        <v>201</v>
      </c>
      <c r="P8" s="122">
        <v>0</v>
      </c>
      <c r="Q8" s="122">
        <v>7</v>
      </c>
      <c r="R8" s="122">
        <v>476</v>
      </c>
      <c r="S8" s="122">
        <v>26519.7</v>
      </c>
      <c r="T8" s="124">
        <v>26519.7</v>
      </c>
      <c r="U8" s="122">
        <v>26519.7</v>
      </c>
      <c r="V8" s="123">
        <v>0</v>
      </c>
      <c r="W8" s="123" t="s">
        <v>202</v>
      </c>
      <c r="X8" s="124" t="s">
        <v>202</v>
      </c>
      <c r="Y8" s="124" t="s">
        <v>202</v>
      </c>
      <c r="Z8" s="124" t="s">
        <v>202</v>
      </c>
      <c r="AA8" s="124" t="s">
        <v>202</v>
      </c>
      <c r="AB8" s="124" t="s">
        <v>203</v>
      </c>
      <c r="AC8" s="124" t="s">
        <v>203</v>
      </c>
      <c r="AD8" s="124" t="s">
        <v>203</v>
      </c>
      <c r="AE8" s="122" t="s">
        <v>202</v>
      </c>
      <c r="AF8" s="124">
        <v>14</v>
      </c>
      <c r="AG8" s="122">
        <v>8</v>
      </c>
      <c r="AH8" s="122">
        <v>4</v>
      </c>
      <c r="AI8" s="122">
        <v>1</v>
      </c>
      <c r="AJ8" s="122">
        <v>6</v>
      </c>
      <c r="AK8" s="122">
        <v>0</v>
      </c>
      <c r="AL8" s="4"/>
    </row>
    <row r="9" spans="1:38" s="3" customFormat="1" ht="32.25" customHeight="1" x14ac:dyDescent="0.3">
      <c r="A9" s="73">
        <v>2</v>
      </c>
      <c r="B9" s="11" t="s">
        <v>196</v>
      </c>
      <c r="C9" s="11">
        <v>75</v>
      </c>
      <c r="D9" s="11" t="s">
        <v>215</v>
      </c>
      <c r="E9" s="11">
        <v>60</v>
      </c>
      <c r="F9" s="11">
        <v>1</v>
      </c>
      <c r="G9" s="115" t="s">
        <v>307</v>
      </c>
      <c r="H9" s="84" t="s">
        <v>580</v>
      </c>
      <c r="I9" s="118" t="s">
        <v>247</v>
      </c>
      <c r="J9" s="131"/>
      <c r="K9" s="131" t="s">
        <v>216</v>
      </c>
      <c r="L9" s="131">
        <v>137</v>
      </c>
      <c r="M9" s="131">
        <v>1984</v>
      </c>
      <c r="N9" s="131" t="s">
        <v>217</v>
      </c>
      <c r="O9" s="131">
        <v>12</v>
      </c>
      <c r="P9" s="131">
        <v>0</v>
      </c>
      <c r="Q9" s="131">
        <v>6</v>
      </c>
      <c r="R9" s="131">
        <v>367</v>
      </c>
      <c r="S9" s="131">
        <v>21500</v>
      </c>
      <c r="T9" s="311">
        <v>17289</v>
      </c>
      <c r="U9" s="131">
        <v>21275</v>
      </c>
      <c r="V9" s="311">
        <v>225</v>
      </c>
      <c r="W9" s="311" t="s">
        <v>218</v>
      </c>
      <c r="X9" s="311" t="s">
        <v>218</v>
      </c>
      <c r="Y9" s="131" t="s">
        <v>218</v>
      </c>
      <c r="Z9" s="311" t="s">
        <v>218</v>
      </c>
      <c r="AA9" s="131" t="s">
        <v>218</v>
      </c>
      <c r="AB9" s="311" t="s">
        <v>219</v>
      </c>
      <c r="AC9" s="131" t="s">
        <v>219</v>
      </c>
      <c r="AD9" s="131" t="s">
        <v>219</v>
      </c>
      <c r="AE9" s="131" t="s">
        <v>218</v>
      </c>
      <c r="AF9" s="311">
        <v>12</v>
      </c>
      <c r="AG9" s="131">
        <v>2</v>
      </c>
      <c r="AH9" s="131">
        <v>1</v>
      </c>
      <c r="AI9" s="131">
        <v>1</v>
      </c>
      <c r="AJ9" s="131">
        <v>1</v>
      </c>
      <c r="AK9" s="131">
        <v>0</v>
      </c>
      <c r="AL9" s="11"/>
    </row>
    <row r="10" spans="1:38" s="83" customFormat="1" ht="32.25" customHeight="1" x14ac:dyDescent="0.3">
      <c r="A10" s="80">
        <v>3</v>
      </c>
      <c r="B10" s="11" t="s">
        <v>196</v>
      </c>
      <c r="C10" s="153" t="s">
        <v>1741</v>
      </c>
      <c r="D10" s="81" t="s">
        <v>244</v>
      </c>
      <c r="E10" s="81">
        <v>9</v>
      </c>
      <c r="F10" s="115" t="s">
        <v>245</v>
      </c>
      <c r="G10" s="388" t="s">
        <v>246</v>
      </c>
      <c r="H10" s="84" t="s">
        <v>581</v>
      </c>
      <c r="I10" s="118" t="s">
        <v>247</v>
      </c>
      <c r="J10" s="239"/>
      <c r="K10" s="118" t="s">
        <v>199</v>
      </c>
      <c r="L10" s="118" t="s">
        <v>248</v>
      </c>
      <c r="M10" s="239">
        <v>1989</v>
      </c>
      <c r="N10" s="239" t="s">
        <v>200</v>
      </c>
      <c r="O10" s="239">
        <v>12</v>
      </c>
      <c r="P10" s="239">
        <v>0</v>
      </c>
      <c r="Q10" s="239">
        <v>8</v>
      </c>
      <c r="R10" s="239">
        <v>320</v>
      </c>
      <c r="S10" s="239">
        <v>22209</v>
      </c>
      <c r="T10" s="382">
        <v>22209</v>
      </c>
      <c r="U10" s="239">
        <v>17829</v>
      </c>
      <c r="V10" s="383">
        <v>4380</v>
      </c>
      <c r="W10" s="383" t="s">
        <v>202</v>
      </c>
      <c r="X10" s="241" t="s">
        <v>202</v>
      </c>
      <c r="Y10" s="239" t="s">
        <v>202</v>
      </c>
      <c r="Z10" s="241" t="s">
        <v>202</v>
      </c>
      <c r="AA10" s="239" t="s">
        <v>202</v>
      </c>
      <c r="AB10" s="241" t="s">
        <v>203</v>
      </c>
      <c r="AC10" s="239" t="s">
        <v>203</v>
      </c>
      <c r="AD10" s="239" t="s">
        <v>203</v>
      </c>
      <c r="AE10" s="239" t="s">
        <v>202</v>
      </c>
      <c r="AF10" s="241">
        <v>16</v>
      </c>
      <c r="AG10" s="239">
        <v>3</v>
      </c>
      <c r="AH10" s="239">
        <v>4</v>
      </c>
      <c r="AI10" s="239">
        <v>1</v>
      </c>
      <c r="AJ10" s="239">
        <v>1</v>
      </c>
      <c r="AK10" s="239">
        <v>0</v>
      </c>
      <c r="AL10" s="81"/>
    </row>
    <row r="11" spans="1:38" s="94" customFormat="1" ht="32.25" customHeight="1" x14ac:dyDescent="0.3">
      <c r="A11" s="91">
        <v>4</v>
      </c>
      <c r="B11" s="93" t="s">
        <v>196</v>
      </c>
      <c r="C11" s="93" t="s">
        <v>276</v>
      </c>
      <c r="D11" s="93" t="s">
        <v>272</v>
      </c>
      <c r="E11" s="387">
        <v>9</v>
      </c>
      <c r="F11" s="387">
        <v>1</v>
      </c>
      <c r="G11" s="115" t="s">
        <v>307</v>
      </c>
      <c r="H11" s="84" t="s">
        <v>582</v>
      </c>
      <c r="I11" s="95" t="s">
        <v>275</v>
      </c>
      <c r="J11" s="112"/>
      <c r="K11" s="169" t="s">
        <v>216</v>
      </c>
      <c r="L11" s="300">
        <v>137</v>
      </c>
      <c r="M11" s="92">
        <v>1982</v>
      </c>
      <c r="N11" s="92" t="s">
        <v>274</v>
      </c>
      <c r="O11" s="92">
        <v>12</v>
      </c>
      <c r="P11" s="92">
        <v>0</v>
      </c>
      <c r="Q11" s="92">
        <v>4</v>
      </c>
      <c r="R11" s="92">
        <v>140</v>
      </c>
      <c r="S11" s="92">
        <v>8365.7999999999993</v>
      </c>
      <c r="T11" s="92">
        <v>8365.7999999999993</v>
      </c>
      <c r="U11" s="92">
        <v>7365.5</v>
      </c>
      <c r="V11" s="93">
        <v>1000.3</v>
      </c>
      <c r="W11" s="93" t="s">
        <v>218</v>
      </c>
      <c r="X11" s="93" t="s">
        <v>218</v>
      </c>
      <c r="Y11" s="93" t="s">
        <v>218</v>
      </c>
      <c r="Z11" s="93" t="s">
        <v>218</v>
      </c>
      <c r="AA11" s="93" t="s">
        <v>218</v>
      </c>
      <c r="AB11" s="92" t="s">
        <v>219</v>
      </c>
      <c r="AC11" s="92" t="s">
        <v>219</v>
      </c>
      <c r="AD11" s="92" t="s">
        <v>219</v>
      </c>
      <c r="AE11" s="92" t="s">
        <v>218</v>
      </c>
      <c r="AF11" s="92">
        <v>4</v>
      </c>
      <c r="AG11" s="92">
        <v>2</v>
      </c>
      <c r="AH11" s="92">
        <v>3</v>
      </c>
      <c r="AI11" s="92">
        <v>1</v>
      </c>
      <c r="AJ11" s="92">
        <v>1</v>
      </c>
      <c r="AK11" s="92">
        <v>0</v>
      </c>
      <c r="AL11" s="92"/>
    </row>
    <row r="12" spans="1:38" s="83" customFormat="1" ht="32.25" customHeight="1" x14ac:dyDescent="0.3">
      <c r="A12" s="80">
        <v>5</v>
      </c>
      <c r="B12" s="84" t="s">
        <v>196</v>
      </c>
      <c r="C12" s="84" t="s">
        <v>283</v>
      </c>
      <c r="D12" s="81" t="s">
        <v>284</v>
      </c>
      <c r="E12" s="81">
        <v>27</v>
      </c>
      <c r="F12" s="81"/>
      <c r="G12" s="81"/>
      <c r="H12" s="84" t="s">
        <v>583</v>
      </c>
      <c r="I12" s="118" t="s">
        <v>247</v>
      </c>
      <c r="J12" s="239"/>
      <c r="K12" s="118" t="s">
        <v>286</v>
      </c>
      <c r="L12" s="118" t="s">
        <v>287</v>
      </c>
      <c r="M12" s="239">
        <v>1988</v>
      </c>
      <c r="N12" s="239" t="s">
        <v>200</v>
      </c>
      <c r="O12" s="239">
        <v>10</v>
      </c>
      <c r="P12" s="239">
        <v>0</v>
      </c>
      <c r="Q12" s="239">
        <v>15</v>
      </c>
      <c r="R12" s="239">
        <v>634</v>
      </c>
      <c r="S12" s="239">
        <v>36722</v>
      </c>
      <c r="T12" s="241">
        <v>36722</v>
      </c>
      <c r="U12" s="239">
        <v>31953.9</v>
      </c>
      <c r="V12" s="383">
        <v>4768.1000000000004</v>
      </c>
      <c r="W12" s="383" t="s">
        <v>218</v>
      </c>
      <c r="X12" s="241" t="s">
        <v>218</v>
      </c>
      <c r="Y12" s="239" t="s">
        <v>218</v>
      </c>
      <c r="Z12" s="241" t="s">
        <v>218</v>
      </c>
      <c r="AA12" s="239" t="s">
        <v>218</v>
      </c>
      <c r="AB12" s="241" t="s">
        <v>218</v>
      </c>
      <c r="AC12" s="239" t="s">
        <v>219</v>
      </c>
      <c r="AD12" s="239" t="s">
        <v>218</v>
      </c>
      <c r="AE12" s="239" t="s">
        <v>219</v>
      </c>
      <c r="AF12" s="241">
        <v>15</v>
      </c>
      <c r="AG12" s="239">
        <v>6</v>
      </c>
      <c r="AH12" s="239">
        <v>3</v>
      </c>
      <c r="AI12" s="239">
        <v>1</v>
      </c>
      <c r="AJ12" s="239">
        <v>5</v>
      </c>
      <c r="AK12" s="239">
        <v>0</v>
      </c>
      <c r="AL12" s="81"/>
    </row>
    <row r="13" spans="1:38" s="113" customFormat="1" ht="32.25" customHeight="1" x14ac:dyDescent="0.3">
      <c r="A13" s="80">
        <v>6</v>
      </c>
      <c r="B13" s="84" t="s">
        <v>196</v>
      </c>
      <c r="C13" s="84">
        <v>72</v>
      </c>
      <c r="D13" s="81" t="s">
        <v>284</v>
      </c>
      <c r="E13" s="81">
        <v>29</v>
      </c>
      <c r="F13" s="81">
        <v>1</v>
      </c>
      <c r="G13" s="115" t="s">
        <v>307</v>
      </c>
      <c r="H13" s="84" t="s">
        <v>584</v>
      </c>
      <c r="I13" s="118" t="s">
        <v>247</v>
      </c>
      <c r="J13" s="239"/>
      <c r="K13" s="118" t="s">
        <v>199</v>
      </c>
      <c r="L13" s="118">
        <v>504</v>
      </c>
      <c r="M13" s="239">
        <v>1988</v>
      </c>
      <c r="N13" s="239" t="s">
        <v>293</v>
      </c>
      <c r="O13" s="239">
        <v>10</v>
      </c>
      <c r="P13" s="239">
        <v>0</v>
      </c>
      <c r="Q13" s="239">
        <v>10</v>
      </c>
      <c r="R13" s="239">
        <v>438</v>
      </c>
      <c r="S13" s="239">
        <v>22305.200000000001</v>
      </c>
      <c r="T13" s="241">
        <v>24132.400000000001</v>
      </c>
      <c r="U13" s="239">
        <v>10954.4</v>
      </c>
      <c r="V13" s="383">
        <v>11350.8</v>
      </c>
      <c r="W13" s="383" t="s">
        <v>218</v>
      </c>
      <c r="X13" s="241" t="s">
        <v>218</v>
      </c>
      <c r="Y13" s="239" t="s">
        <v>218</v>
      </c>
      <c r="Z13" s="241" t="s">
        <v>218</v>
      </c>
      <c r="AA13" s="239" t="s">
        <v>218</v>
      </c>
      <c r="AB13" s="241" t="s">
        <v>218</v>
      </c>
      <c r="AC13" s="239" t="s">
        <v>219</v>
      </c>
      <c r="AD13" s="239" t="s">
        <v>218</v>
      </c>
      <c r="AE13" s="239" t="s">
        <v>219</v>
      </c>
      <c r="AF13" s="241">
        <v>10</v>
      </c>
      <c r="AG13" s="239">
        <v>3</v>
      </c>
      <c r="AH13" s="239">
        <v>2</v>
      </c>
      <c r="AI13" s="239">
        <v>2</v>
      </c>
      <c r="AJ13" s="239">
        <v>4</v>
      </c>
      <c r="AK13" s="239">
        <v>0</v>
      </c>
      <c r="AL13" s="81"/>
    </row>
    <row r="14" spans="1:38" s="86" customFormat="1" ht="32.25" customHeight="1" x14ac:dyDescent="0.3">
      <c r="A14" s="114">
        <v>7</v>
      </c>
      <c r="B14" s="84" t="s">
        <v>196</v>
      </c>
      <c r="C14" s="84" t="s">
        <v>301</v>
      </c>
      <c r="D14" s="84" t="s">
        <v>302</v>
      </c>
      <c r="E14" s="84">
        <v>4</v>
      </c>
      <c r="F14" s="84">
        <v>1</v>
      </c>
      <c r="G14" s="84"/>
      <c r="H14" s="84" t="s">
        <v>585</v>
      </c>
      <c r="I14" s="118" t="s">
        <v>247</v>
      </c>
      <c r="J14" s="118"/>
      <c r="K14" s="118" t="s">
        <v>303</v>
      </c>
      <c r="L14" s="118" t="s">
        <v>304</v>
      </c>
      <c r="M14" s="118">
        <v>1975</v>
      </c>
      <c r="N14" s="118" t="s">
        <v>305</v>
      </c>
      <c r="O14" s="118">
        <v>14</v>
      </c>
      <c r="P14" s="118">
        <v>0</v>
      </c>
      <c r="Q14" s="118">
        <v>1</v>
      </c>
      <c r="R14" s="118">
        <v>97</v>
      </c>
      <c r="S14" s="118">
        <v>5655.2</v>
      </c>
      <c r="T14" s="383">
        <v>4848</v>
      </c>
      <c r="U14" s="118">
        <v>4711.2</v>
      </c>
      <c r="V14" s="383">
        <v>0</v>
      </c>
      <c r="W14" s="383" t="s">
        <v>218</v>
      </c>
      <c r="X14" s="383" t="s">
        <v>218</v>
      </c>
      <c r="Y14" s="118" t="s">
        <v>218</v>
      </c>
      <c r="Z14" s="383" t="s">
        <v>218</v>
      </c>
      <c r="AA14" s="118" t="s">
        <v>218</v>
      </c>
      <c r="AB14" s="383" t="s">
        <v>218</v>
      </c>
      <c r="AC14" s="118" t="s">
        <v>219</v>
      </c>
      <c r="AD14" s="118" t="s">
        <v>218</v>
      </c>
      <c r="AE14" s="118" t="s">
        <v>219</v>
      </c>
      <c r="AF14" s="383">
        <v>2</v>
      </c>
      <c r="AG14" s="118">
        <v>2</v>
      </c>
      <c r="AH14" s="118">
        <v>2</v>
      </c>
      <c r="AI14" s="118">
        <v>0</v>
      </c>
      <c r="AJ14" s="118">
        <v>1</v>
      </c>
      <c r="AK14" s="118">
        <v>0</v>
      </c>
      <c r="AL14" s="84"/>
    </row>
    <row r="15" spans="1:38" s="83" customFormat="1" ht="32.25" customHeight="1" x14ac:dyDescent="0.3">
      <c r="A15" s="80">
        <v>8</v>
      </c>
      <c r="B15" s="11" t="s">
        <v>338</v>
      </c>
      <c r="C15" s="84"/>
      <c r="D15" s="84" t="s">
        <v>306</v>
      </c>
      <c r="E15" s="115">
        <v>27</v>
      </c>
      <c r="F15" s="115">
        <v>2</v>
      </c>
      <c r="G15" s="115" t="s">
        <v>307</v>
      </c>
      <c r="H15" s="84" t="s">
        <v>586</v>
      </c>
      <c r="I15" s="118" t="s">
        <v>247</v>
      </c>
      <c r="J15" s="239" t="s">
        <v>308</v>
      </c>
      <c r="K15" s="118" t="s">
        <v>216</v>
      </c>
      <c r="L15" s="118" t="s">
        <v>309</v>
      </c>
      <c r="M15" s="239">
        <v>1968</v>
      </c>
      <c r="N15" s="118" t="s">
        <v>310</v>
      </c>
      <c r="O15" s="239">
        <v>5</v>
      </c>
      <c r="P15" s="239">
        <v>0</v>
      </c>
      <c r="Q15" s="239">
        <v>8</v>
      </c>
      <c r="R15" s="239">
        <v>159</v>
      </c>
      <c r="S15" s="239">
        <v>7089.6</v>
      </c>
      <c r="T15" s="239">
        <v>7089.6</v>
      </c>
      <c r="U15" s="239">
        <v>6997.8</v>
      </c>
      <c r="V15" s="239">
        <v>91.8</v>
      </c>
      <c r="W15" s="239" t="s">
        <v>218</v>
      </c>
      <c r="X15" s="239" t="s">
        <v>218</v>
      </c>
      <c r="Y15" s="239" t="s">
        <v>218</v>
      </c>
      <c r="Z15" s="241" t="s">
        <v>218</v>
      </c>
      <c r="AA15" s="239" t="s">
        <v>218</v>
      </c>
      <c r="AB15" s="239" t="s">
        <v>218</v>
      </c>
      <c r="AC15" s="239" t="s">
        <v>219</v>
      </c>
      <c r="AD15" s="239" t="s">
        <v>218</v>
      </c>
      <c r="AE15" s="239" t="s">
        <v>219</v>
      </c>
      <c r="AF15" s="239">
        <v>0</v>
      </c>
      <c r="AG15" s="239">
        <v>2</v>
      </c>
      <c r="AH15" s="239">
        <v>1</v>
      </c>
      <c r="AI15" s="239">
        <v>2</v>
      </c>
      <c r="AJ15" s="239">
        <v>2</v>
      </c>
      <c r="AK15" s="239">
        <v>1</v>
      </c>
      <c r="AL15" s="81"/>
    </row>
    <row r="16" spans="1:38" s="83" customFormat="1" ht="32.25" customHeight="1" x14ac:dyDescent="0.3">
      <c r="A16" s="114">
        <v>9</v>
      </c>
      <c r="B16" s="11" t="s">
        <v>338</v>
      </c>
      <c r="C16" s="84"/>
      <c r="D16" s="84" t="s">
        <v>306</v>
      </c>
      <c r="E16" s="81">
        <v>94</v>
      </c>
      <c r="F16" s="81">
        <v>2</v>
      </c>
      <c r="G16" s="115" t="s">
        <v>307</v>
      </c>
      <c r="H16" s="84" t="s">
        <v>587</v>
      </c>
      <c r="I16" s="118" t="s">
        <v>247</v>
      </c>
      <c r="J16" s="239" t="s">
        <v>308</v>
      </c>
      <c r="K16" s="118" t="s">
        <v>216</v>
      </c>
      <c r="L16" s="118" t="s">
        <v>311</v>
      </c>
      <c r="M16" s="239">
        <v>1966</v>
      </c>
      <c r="N16" s="118" t="s">
        <v>274</v>
      </c>
      <c r="O16" s="239">
        <v>5</v>
      </c>
      <c r="P16" s="239">
        <v>0</v>
      </c>
      <c r="Q16" s="239">
        <v>9</v>
      </c>
      <c r="R16" s="239">
        <v>134</v>
      </c>
      <c r="S16" s="239">
        <v>6147.7</v>
      </c>
      <c r="T16" s="239">
        <v>6147.7</v>
      </c>
      <c r="U16" s="239">
        <v>6073.7</v>
      </c>
      <c r="V16" s="239">
        <v>74</v>
      </c>
      <c r="W16" s="239" t="s">
        <v>218</v>
      </c>
      <c r="X16" s="239" t="s">
        <v>218</v>
      </c>
      <c r="Y16" s="239" t="s">
        <v>218</v>
      </c>
      <c r="Z16" s="241" t="s">
        <v>218</v>
      </c>
      <c r="AA16" s="239" t="s">
        <v>218</v>
      </c>
      <c r="AB16" s="239" t="s">
        <v>218</v>
      </c>
      <c r="AC16" s="239" t="s">
        <v>219</v>
      </c>
      <c r="AD16" s="239" t="s">
        <v>218</v>
      </c>
      <c r="AE16" s="239" t="s">
        <v>219</v>
      </c>
      <c r="AF16" s="239">
        <v>0</v>
      </c>
      <c r="AG16" s="239">
        <v>2</v>
      </c>
      <c r="AH16" s="239">
        <v>1</v>
      </c>
      <c r="AI16" s="239">
        <v>1</v>
      </c>
      <c r="AJ16" s="239">
        <v>1</v>
      </c>
      <c r="AK16" s="239">
        <v>1</v>
      </c>
      <c r="AL16" s="81"/>
    </row>
    <row r="17" spans="1:38" s="83" customFormat="1" ht="32.25" customHeight="1" x14ac:dyDescent="0.3">
      <c r="A17" s="80">
        <v>10</v>
      </c>
      <c r="B17" s="11" t="s">
        <v>338</v>
      </c>
      <c r="C17" s="84"/>
      <c r="D17" s="84" t="s">
        <v>312</v>
      </c>
      <c r="E17" s="81">
        <v>33</v>
      </c>
      <c r="F17" s="81"/>
      <c r="G17" s="115" t="s">
        <v>307</v>
      </c>
      <c r="H17" s="84" t="s">
        <v>588</v>
      </c>
      <c r="I17" s="118" t="s">
        <v>247</v>
      </c>
      <c r="J17" s="239" t="s">
        <v>308</v>
      </c>
      <c r="K17" s="118" t="s">
        <v>216</v>
      </c>
      <c r="L17" s="118" t="s">
        <v>313</v>
      </c>
      <c r="M17" s="239">
        <v>1967</v>
      </c>
      <c r="N17" s="118" t="s">
        <v>274</v>
      </c>
      <c r="O17" s="239">
        <v>9</v>
      </c>
      <c r="P17" s="239">
        <v>0</v>
      </c>
      <c r="Q17" s="239">
        <v>6</v>
      </c>
      <c r="R17" s="239">
        <v>216</v>
      </c>
      <c r="S17" s="239">
        <v>11271.1</v>
      </c>
      <c r="T17" s="239">
        <v>11271.1</v>
      </c>
      <c r="U17" s="239">
        <v>11175.6</v>
      </c>
      <c r="V17" s="239">
        <v>95.5</v>
      </c>
      <c r="W17" s="239" t="s">
        <v>218</v>
      </c>
      <c r="X17" s="239" t="s">
        <v>218</v>
      </c>
      <c r="Y17" s="239" t="s">
        <v>218</v>
      </c>
      <c r="Z17" s="241" t="s">
        <v>218</v>
      </c>
      <c r="AA17" s="239" t="s">
        <v>218</v>
      </c>
      <c r="AB17" s="239" t="s">
        <v>218</v>
      </c>
      <c r="AC17" s="239" t="s">
        <v>219</v>
      </c>
      <c r="AD17" s="239" t="s">
        <v>218</v>
      </c>
      <c r="AE17" s="239" t="s">
        <v>219</v>
      </c>
      <c r="AF17" s="239">
        <v>6</v>
      </c>
      <c r="AG17" s="239">
        <v>2</v>
      </c>
      <c r="AH17" s="239">
        <v>1</v>
      </c>
      <c r="AI17" s="239">
        <v>1</v>
      </c>
      <c r="AJ17" s="239">
        <v>1</v>
      </c>
      <c r="AK17" s="239">
        <v>1</v>
      </c>
      <c r="AL17" s="81"/>
    </row>
    <row r="18" spans="1:38" s="83" customFormat="1" ht="32.25" customHeight="1" x14ac:dyDescent="0.3">
      <c r="A18" s="114">
        <v>11</v>
      </c>
      <c r="B18" s="11" t="s">
        <v>338</v>
      </c>
      <c r="C18" s="84"/>
      <c r="D18" s="81" t="s">
        <v>314</v>
      </c>
      <c r="E18" s="81">
        <v>38</v>
      </c>
      <c r="F18" s="81">
        <v>2</v>
      </c>
      <c r="G18" s="115" t="s">
        <v>307</v>
      </c>
      <c r="H18" s="84" t="s">
        <v>589</v>
      </c>
      <c r="I18" s="118" t="s">
        <v>247</v>
      </c>
      <c r="J18" s="239" t="s">
        <v>308</v>
      </c>
      <c r="K18" s="118" t="s">
        <v>216</v>
      </c>
      <c r="L18" s="118" t="s">
        <v>315</v>
      </c>
      <c r="M18" s="239">
        <v>1966</v>
      </c>
      <c r="N18" s="118" t="s">
        <v>316</v>
      </c>
      <c r="O18" s="239">
        <v>5</v>
      </c>
      <c r="P18" s="239">
        <v>0</v>
      </c>
      <c r="Q18" s="239">
        <v>6</v>
      </c>
      <c r="R18" s="239">
        <v>90</v>
      </c>
      <c r="S18" s="239">
        <v>4058.8</v>
      </c>
      <c r="T18" s="239">
        <v>4058.8</v>
      </c>
      <c r="U18" s="239">
        <v>4006.9</v>
      </c>
      <c r="V18" s="239">
        <v>51.9</v>
      </c>
      <c r="W18" s="239" t="s">
        <v>218</v>
      </c>
      <c r="X18" s="239" t="s">
        <v>218</v>
      </c>
      <c r="Y18" s="239" t="s">
        <v>218</v>
      </c>
      <c r="Z18" s="241" t="s">
        <v>218</v>
      </c>
      <c r="AA18" s="239" t="s">
        <v>218</v>
      </c>
      <c r="AB18" s="239" t="s">
        <v>218</v>
      </c>
      <c r="AC18" s="239" t="s">
        <v>219</v>
      </c>
      <c r="AD18" s="239" t="s">
        <v>218</v>
      </c>
      <c r="AE18" s="239" t="s">
        <v>219</v>
      </c>
      <c r="AF18" s="239">
        <v>0</v>
      </c>
      <c r="AG18" s="239">
        <v>2</v>
      </c>
      <c r="AH18" s="239">
        <v>1</v>
      </c>
      <c r="AI18" s="239">
        <v>1</v>
      </c>
      <c r="AJ18" s="239">
        <v>1</v>
      </c>
      <c r="AK18" s="239">
        <v>1</v>
      </c>
      <c r="AL18" s="81"/>
    </row>
    <row r="19" spans="1:38" s="83" customFormat="1" ht="32.25" customHeight="1" x14ac:dyDescent="0.3">
      <c r="A19" s="80">
        <v>12</v>
      </c>
      <c r="B19" s="11" t="s">
        <v>338</v>
      </c>
      <c r="C19" s="84"/>
      <c r="D19" s="81" t="s">
        <v>314</v>
      </c>
      <c r="E19" s="81">
        <v>40</v>
      </c>
      <c r="F19" s="81">
        <v>4</v>
      </c>
      <c r="G19" s="115" t="s">
        <v>307</v>
      </c>
      <c r="H19" s="84" t="s">
        <v>590</v>
      </c>
      <c r="I19" s="118" t="s">
        <v>247</v>
      </c>
      <c r="J19" s="239" t="s">
        <v>308</v>
      </c>
      <c r="K19" s="118" t="s">
        <v>216</v>
      </c>
      <c r="L19" s="118" t="s">
        <v>311</v>
      </c>
      <c r="M19" s="239">
        <v>1966</v>
      </c>
      <c r="N19" s="118" t="s">
        <v>274</v>
      </c>
      <c r="O19" s="239">
        <v>5</v>
      </c>
      <c r="P19" s="239">
        <v>0</v>
      </c>
      <c r="Q19" s="239">
        <v>9</v>
      </c>
      <c r="R19" s="239">
        <v>134</v>
      </c>
      <c r="S19" s="239">
        <v>6098</v>
      </c>
      <c r="T19" s="239">
        <v>6098</v>
      </c>
      <c r="U19" s="239">
        <v>6008.6</v>
      </c>
      <c r="V19" s="239">
        <v>89.5</v>
      </c>
      <c r="W19" s="239" t="s">
        <v>218</v>
      </c>
      <c r="X19" s="239" t="s">
        <v>218</v>
      </c>
      <c r="Y19" s="239" t="s">
        <v>218</v>
      </c>
      <c r="Z19" s="241" t="s">
        <v>218</v>
      </c>
      <c r="AA19" s="239" t="s">
        <v>218</v>
      </c>
      <c r="AB19" s="239" t="s">
        <v>218</v>
      </c>
      <c r="AC19" s="239" t="s">
        <v>219</v>
      </c>
      <c r="AD19" s="239" t="s">
        <v>218</v>
      </c>
      <c r="AE19" s="239" t="s">
        <v>219</v>
      </c>
      <c r="AF19" s="239">
        <v>0</v>
      </c>
      <c r="AG19" s="239">
        <v>2</v>
      </c>
      <c r="AH19" s="239">
        <v>1</v>
      </c>
      <c r="AI19" s="239">
        <v>1</v>
      </c>
      <c r="AJ19" s="239">
        <v>1</v>
      </c>
      <c r="AK19" s="239">
        <v>1</v>
      </c>
      <c r="AL19" s="81"/>
    </row>
    <row r="20" spans="1:38" s="83" customFormat="1" ht="32.25" customHeight="1" x14ac:dyDescent="0.3">
      <c r="A20" s="114">
        <v>13</v>
      </c>
      <c r="B20" s="11" t="s">
        <v>338</v>
      </c>
      <c r="C20" s="84"/>
      <c r="D20" s="84" t="s">
        <v>317</v>
      </c>
      <c r="E20" s="81">
        <v>29</v>
      </c>
      <c r="F20" s="81">
        <v>2</v>
      </c>
      <c r="G20" s="115" t="s">
        <v>307</v>
      </c>
      <c r="H20" s="84" t="s">
        <v>591</v>
      </c>
      <c r="I20" s="118" t="s">
        <v>247</v>
      </c>
      <c r="J20" s="239" t="s">
        <v>308</v>
      </c>
      <c r="K20" s="118" t="s">
        <v>318</v>
      </c>
      <c r="L20" s="118" t="s">
        <v>319</v>
      </c>
      <c r="M20" s="239">
        <v>1976</v>
      </c>
      <c r="N20" s="118" t="s">
        <v>320</v>
      </c>
      <c r="O20" s="239">
        <v>9</v>
      </c>
      <c r="P20" s="239">
        <v>0</v>
      </c>
      <c r="Q20" s="239">
        <v>2</v>
      </c>
      <c r="R20" s="239">
        <v>110</v>
      </c>
      <c r="S20" s="239">
        <v>6735.58</v>
      </c>
      <c r="T20" s="239">
        <v>6735.58</v>
      </c>
      <c r="U20" s="239">
        <v>5369.94</v>
      </c>
      <c r="V20" s="239">
        <v>1365.64</v>
      </c>
      <c r="W20" s="239" t="s">
        <v>218</v>
      </c>
      <c r="X20" s="239" t="s">
        <v>218</v>
      </c>
      <c r="Y20" s="239" t="s">
        <v>218</v>
      </c>
      <c r="Z20" s="241" t="s">
        <v>218</v>
      </c>
      <c r="AA20" s="239" t="s">
        <v>218</v>
      </c>
      <c r="AB20" s="239" t="s">
        <v>218</v>
      </c>
      <c r="AC20" s="239" t="s">
        <v>219</v>
      </c>
      <c r="AD20" s="239" t="s">
        <v>218</v>
      </c>
      <c r="AE20" s="239" t="s">
        <v>219</v>
      </c>
      <c r="AF20" s="239">
        <v>2</v>
      </c>
      <c r="AG20" s="239">
        <v>2</v>
      </c>
      <c r="AH20" s="239">
        <v>2</v>
      </c>
      <c r="AI20" s="239">
        <v>1</v>
      </c>
      <c r="AJ20" s="239">
        <v>1</v>
      </c>
      <c r="AK20" s="239">
        <v>1</v>
      </c>
      <c r="AL20" s="81"/>
    </row>
    <row r="21" spans="1:38" ht="32.25" customHeight="1" x14ac:dyDescent="0.3">
      <c r="A21" s="5">
        <v>14</v>
      </c>
      <c r="B21" s="11" t="s">
        <v>338</v>
      </c>
      <c r="C21" s="11" t="s">
        <v>339</v>
      </c>
      <c r="D21" s="4" t="s">
        <v>340</v>
      </c>
      <c r="E21" s="4">
        <v>28</v>
      </c>
      <c r="F21" s="4"/>
      <c r="G21" s="4"/>
      <c r="H21" s="84" t="s">
        <v>592</v>
      </c>
      <c r="I21" s="131" t="s">
        <v>341</v>
      </c>
      <c r="J21" s="122" t="s">
        <v>342</v>
      </c>
      <c r="K21" s="131" t="s">
        <v>343</v>
      </c>
      <c r="L21" s="131" t="s">
        <v>344</v>
      </c>
      <c r="M21" s="122">
        <v>1968</v>
      </c>
      <c r="N21" s="122" t="s">
        <v>318</v>
      </c>
      <c r="O21" s="122">
        <v>9</v>
      </c>
      <c r="P21" s="122">
        <v>0</v>
      </c>
      <c r="Q21" s="122">
        <v>1</v>
      </c>
      <c r="R21" s="122">
        <v>45</v>
      </c>
      <c r="S21" s="122">
        <v>2075.15</v>
      </c>
      <c r="T21" s="124">
        <v>1974.35</v>
      </c>
      <c r="U21" s="122">
        <v>1253.03</v>
      </c>
      <c r="V21" s="311"/>
      <c r="W21" s="123" t="s">
        <v>218</v>
      </c>
      <c r="X21" s="124" t="s">
        <v>218</v>
      </c>
      <c r="Y21" s="122" t="s">
        <v>218</v>
      </c>
      <c r="Z21" s="124" t="s">
        <v>218</v>
      </c>
      <c r="AA21" s="122" t="s">
        <v>218</v>
      </c>
      <c r="AB21" s="124" t="s">
        <v>219</v>
      </c>
      <c r="AC21" s="122" t="s">
        <v>219</v>
      </c>
      <c r="AD21" s="122" t="s">
        <v>218</v>
      </c>
      <c r="AE21" s="122" t="s">
        <v>219</v>
      </c>
      <c r="AF21" s="124">
        <v>1</v>
      </c>
      <c r="AG21" s="122">
        <v>2</v>
      </c>
      <c r="AH21" s="122">
        <v>1</v>
      </c>
      <c r="AI21" s="122">
        <v>1</v>
      </c>
      <c r="AJ21" s="122">
        <v>1</v>
      </c>
      <c r="AK21" s="122">
        <v>0</v>
      </c>
      <c r="AL21" s="4"/>
    </row>
    <row r="22" spans="1:38" ht="32.25" customHeight="1" x14ac:dyDescent="0.3">
      <c r="A22" s="80">
        <v>15</v>
      </c>
      <c r="B22" s="11" t="s">
        <v>338</v>
      </c>
      <c r="C22" s="11" t="s">
        <v>339</v>
      </c>
      <c r="D22" s="4" t="s">
        <v>340</v>
      </c>
      <c r="E22" s="4">
        <v>32</v>
      </c>
      <c r="F22" s="4"/>
      <c r="G22" s="4"/>
      <c r="H22" s="84" t="s">
        <v>593</v>
      </c>
      <c r="I22" s="131" t="s">
        <v>341</v>
      </c>
      <c r="J22" s="122" t="s">
        <v>342</v>
      </c>
      <c r="K22" s="11" t="s">
        <v>343</v>
      </c>
      <c r="L22" s="131" t="s">
        <v>344</v>
      </c>
      <c r="M22" s="4">
        <v>1968</v>
      </c>
      <c r="N22" s="4" t="s">
        <v>318</v>
      </c>
      <c r="O22" s="122">
        <v>9</v>
      </c>
      <c r="P22" s="122">
        <v>0</v>
      </c>
      <c r="Q22" s="122">
        <v>1</v>
      </c>
      <c r="R22" s="122">
        <v>46</v>
      </c>
      <c r="S22" s="122">
        <v>2092.11</v>
      </c>
      <c r="T22" s="122">
        <v>1990.11</v>
      </c>
      <c r="U22" s="122">
        <v>1261.48</v>
      </c>
      <c r="V22" s="122"/>
      <c r="W22" s="123" t="s">
        <v>218</v>
      </c>
      <c r="X22" s="124" t="s">
        <v>218</v>
      </c>
      <c r="Y22" s="122" t="s">
        <v>218</v>
      </c>
      <c r="Z22" s="124" t="s">
        <v>218</v>
      </c>
      <c r="AA22" s="122" t="s">
        <v>218</v>
      </c>
      <c r="AB22" s="124" t="s">
        <v>219</v>
      </c>
      <c r="AC22" s="122" t="s">
        <v>219</v>
      </c>
      <c r="AD22" s="122" t="s">
        <v>218</v>
      </c>
      <c r="AE22" s="122" t="s">
        <v>219</v>
      </c>
      <c r="AF22" s="122">
        <v>1</v>
      </c>
      <c r="AG22" s="122">
        <v>2</v>
      </c>
      <c r="AH22" s="122">
        <v>1</v>
      </c>
      <c r="AI22" s="122">
        <v>1</v>
      </c>
      <c r="AJ22" s="122">
        <v>1</v>
      </c>
      <c r="AK22" s="122">
        <v>0</v>
      </c>
      <c r="AL22" s="4"/>
    </row>
    <row r="23" spans="1:38" ht="32.25" customHeight="1" x14ac:dyDescent="0.3">
      <c r="A23" s="114">
        <v>16</v>
      </c>
      <c r="B23" s="11" t="s">
        <v>338</v>
      </c>
      <c r="C23" s="11" t="s">
        <v>339</v>
      </c>
      <c r="D23" s="4" t="s">
        <v>340</v>
      </c>
      <c r="E23" s="4">
        <v>38</v>
      </c>
      <c r="F23" s="4">
        <v>4</v>
      </c>
      <c r="G23" s="4"/>
      <c r="H23" s="84" t="s">
        <v>594</v>
      </c>
      <c r="I23" s="131" t="s">
        <v>341</v>
      </c>
      <c r="J23" s="122" t="s">
        <v>342</v>
      </c>
      <c r="K23" s="11" t="s">
        <v>343</v>
      </c>
      <c r="L23" s="131" t="s">
        <v>345</v>
      </c>
      <c r="M23" s="4">
        <v>1966</v>
      </c>
      <c r="N23" s="4" t="s">
        <v>318</v>
      </c>
      <c r="O23" s="122">
        <v>9</v>
      </c>
      <c r="P23" s="122">
        <v>0</v>
      </c>
      <c r="Q23" s="122">
        <v>4</v>
      </c>
      <c r="R23" s="122">
        <v>237</v>
      </c>
      <c r="S23" s="122">
        <v>11195.7</v>
      </c>
      <c r="T23" s="122">
        <v>11085.7</v>
      </c>
      <c r="U23" s="122">
        <v>7152.81</v>
      </c>
      <c r="V23" s="122"/>
      <c r="W23" s="123" t="s">
        <v>218</v>
      </c>
      <c r="X23" s="124" t="s">
        <v>218</v>
      </c>
      <c r="Y23" s="122" t="s">
        <v>218</v>
      </c>
      <c r="Z23" s="124" t="s">
        <v>218</v>
      </c>
      <c r="AA23" s="122" t="s">
        <v>218</v>
      </c>
      <c r="AB23" s="124" t="s">
        <v>219</v>
      </c>
      <c r="AC23" s="122" t="s">
        <v>219</v>
      </c>
      <c r="AD23" s="122" t="s">
        <v>218</v>
      </c>
      <c r="AE23" s="122" t="s">
        <v>219</v>
      </c>
      <c r="AF23" s="122">
        <v>4</v>
      </c>
      <c r="AG23" s="122">
        <v>2</v>
      </c>
      <c r="AH23" s="122">
        <v>1</v>
      </c>
      <c r="AI23" s="122">
        <v>1</v>
      </c>
      <c r="AJ23" s="122">
        <v>2</v>
      </c>
      <c r="AK23" s="122">
        <v>0</v>
      </c>
      <c r="AL23" s="4"/>
    </row>
    <row r="24" spans="1:38" ht="32.25" customHeight="1" x14ac:dyDescent="0.3">
      <c r="A24" s="5">
        <v>17</v>
      </c>
      <c r="B24" s="11" t="s">
        <v>338</v>
      </c>
      <c r="C24" s="11" t="s">
        <v>339</v>
      </c>
      <c r="D24" s="4" t="s">
        <v>340</v>
      </c>
      <c r="E24" s="4">
        <v>42</v>
      </c>
      <c r="F24" s="4">
        <v>3</v>
      </c>
      <c r="G24" s="4"/>
      <c r="H24" s="84" t="s">
        <v>595</v>
      </c>
      <c r="I24" s="131" t="s">
        <v>341</v>
      </c>
      <c r="J24" s="122" t="s">
        <v>342</v>
      </c>
      <c r="K24" s="11" t="s">
        <v>343</v>
      </c>
      <c r="L24" s="131" t="s">
        <v>345</v>
      </c>
      <c r="M24" s="4">
        <v>1965</v>
      </c>
      <c r="N24" s="4" t="s">
        <v>318</v>
      </c>
      <c r="O24" s="122">
        <v>9</v>
      </c>
      <c r="P24" s="122">
        <v>0</v>
      </c>
      <c r="Q24" s="122">
        <v>4</v>
      </c>
      <c r="R24" s="122">
        <v>231</v>
      </c>
      <c r="S24" s="122">
        <v>11353.29</v>
      </c>
      <c r="T24" s="122">
        <v>11185.02</v>
      </c>
      <c r="U24" s="122">
        <v>7201.09</v>
      </c>
      <c r="V24" s="122"/>
      <c r="W24" s="123" t="s">
        <v>218</v>
      </c>
      <c r="X24" s="124" t="s">
        <v>218</v>
      </c>
      <c r="Y24" s="122" t="s">
        <v>218</v>
      </c>
      <c r="Z24" s="124" t="s">
        <v>218</v>
      </c>
      <c r="AA24" s="122" t="s">
        <v>218</v>
      </c>
      <c r="AB24" s="124" t="s">
        <v>219</v>
      </c>
      <c r="AC24" s="122" t="s">
        <v>219</v>
      </c>
      <c r="AD24" s="122" t="s">
        <v>218</v>
      </c>
      <c r="AE24" s="122" t="s">
        <v>219</v>
      </c>
      <c r="AF24" s="122">
        <v>4</v>
      </c>
      <c r="AG24" s="122">
        <v>2</v>
      </c>
      <c r="AH24" s="122">
        <v>1</v>
      </c>
      <c r="AI24" s="122">
        <v>1</v>
      </c>
      <c r="AJ24" s="122">
        <v>2</v>
      </c>
      <c r="AK24" s="122">
        <v>0</v>
      </c>
      <c r="AL24" s="4"/>
    </row>
    <row r="25" spans="1:38" ht="32.25" customHeight="1" x14ac:dyDescent="0.3">
      <c r="A25" s="80">
        <v>18</v>
      </c>
      <c r="B25" s="11" t="s">
        <v>338</v>
      </c>
      <c r="C25" s="11" t="s">
        <v>339</v>
      </c>
      <c r="D25" s="4" t="s">
        <v>340</v>
      </c>
      <c r="E25" s="4">
        <v>42</v>
      </c>
      <c r="F25" s="4">
        <v>5</v>
      </c>
      <c r="G25" s="4"/>
      <c r="H25" s="84" t="s">
        <v>596</v>
      </c>
      <c r="I25" s="131" t="s">
        <v>341</v>
      </c>
      <c r="J25" s="122" t="s">
        <v>342</v>
      </c>
      <c r="K25" s="11" t="s">
        <v>343</v>
      </c>
      <c r="L25" s="131" t="s">
        <v>345</v>
      </c>
      <c r="M25" s="4">
        <v>1967</v>
      </c>
      <c r="N25" s="4" t="s">
        <v>318</v>
      </c>
      <c r="O25" s="122">
        <v>9</v>
      </c>
      <c r="P25" s="122">
        <v>0</v>
      </c>
      <c r="Q25" s="122">
        <v>1</v>
      </c>
      <c r="R25" s="122">
        <v>45</v>
      </c>
      <c r="S25" s="122">
        <v>2080.7600000000002</v>
      </c>
      <c r="T25" s="122">
        <v>1981.26</v>
      </c>
      <c r="U25" s="122">
        <v>1268</v>
      </c>
      <c r="V25" s="122"/>
      <c r="W25" s="123" t="s">
        <v>218</v>
      </c>
      <c r="X25" s="124" t="s">
        <v>218</v>
      </c>
      <c r="Y25" s="122" t="s">
        <v>218</v>
      </c>
      <c r="Z25" s="124" t="s">
        <v>218</v>
      </c>
      <c r="AA25" s="122" t="s">
        <v>218</v>
      </c>
      <c r="AB25" s="124" t="s">
        <v>219</v>
      </c>
      <c r="AC25" s="122" t="s">
        <v>219</v>
      </c>
      <c r="AD25" s="122" t="s">
        <v>218</v>
      </c>
      <c r="AE25" s="122" t="s">
        <v>219</v>
      </c>
      <c r="AF25" s="122">
        <v>1</v>
      </c>
      <c r="AG25" s="122">
        <v>2</v>
      </c>
      <c r="AH25" s="122"/>
      <c r="AI25" s="122">
        <v>1</v>
      </c>
      <c r="AJ25" s="122">
        <v>1</v>
      </c>
      <c r="AK25" s="122">
        <v>0</v>
      </c>
      <c r="AL25" s="4"/>
    </row>
    <row r="26" spans="1:38" ht="32.25" customHeight="1" x14ac:dyDescent="0.3">
      <c r="A26" s="114">
        <v>19</v>
      </c>
      <c r="B26" s="11" t="s">
        <v>338</v>
      </c>
      <c r="C26" s="11" t="s">
        <v>339</v>
      </c>
      <c r="D26" s="4" t="s">
        <v>340</v>
      </c>
      <c r="E26" s="4">
        <v>46</v>
      </c>
      <c r="F26" s="4"/>
      <c r="G26" s="4"/>
      <c r="H26" s="84" t="s">
        <v>597</v>
      </c>
      <c r="I26" s="131" t="s">
        <v>341</v>
      </c>
      <c r="J26" s="122" t="s">
        <v>342</v>
      </c>
      <c r="K26" s="11" t="s">
        <v>199</v>
      </c>
      <c r="L26" s="131" t="s">
        <v>346</v>
      </c>
      <c r="M26" s="4">
        <v>1965</v>
      </c>
      <c r="N26" s="11" t="s">
        <v>347</v>
      </c>
      <c r="O26" s="122">
        <v>5</v>
      </c>
      <c r="P26" s="122">
        <v>0</v>
      </c>
      <c r="Q26" s="122">
        <v>9</v>
      </c>
      <c r="R26" s="122">
        <v>125</v>
      </c>
      <c r="S26" s="122">
        <v>5995.44</v>
      </c>
      <c r="T26" s="122">
        <v>5341.99</v>
      </c>
      <c r="U26" s="122">
        <v>3626.72</v>
      </c>
      <c r="V26" s="122"/>
      <c r="W26" s="123" t="s">
        <v>218</v>
      </c>
      <c r="X26" s="124" t="s">
        <v>218</v>
      </c>
      <c r="Y26" s="122" t="s">
        <v>218</v>
      </c>
      <c r="Z26" s="124" t="s">
        <v>218</v>
      </c>
      <c r="AA26" s="122" t="s">
        <v>218</v>
      </c>
      <c r="AB26" s="124" t="s">
        <v>219</v>
      </c>
      <c r="AC26" s="122" t="s">
        <v>219</v>
      </c>
      <c r="AD26" s="122" t="s">
        <v>218</v>
      </c>
      <c r="AE26" s="122" t="s">
        <v>219</v>
      </c>
      <c r="AF26" s="122">
        <v>0</v>
      </c>
      <c r="AG26" s="122">
        <v>1</v>
      </c>
      <c r="AH26" s="122">
        <v>1</v>
      </c>
      <c r="AI26" s="122">
        <v>1</v>
      </c>
      <c r="AJ26" s="122">
        <v>1</v>
      </c>
      <c r="AK26" s="122">
        <v>0</v>
      </c>
      <c r="AL26" s="4"/>
    </row>
    <row r="27" spans="1:38" ht="32.25" customHeight="1" x14ac:dyDescent="0.3">
      <c r="A27" s="5">
        <v>20</v>
      </c>
      <c r="B27" s="11" t="s">
        <v>338</v>
      </c>
      <c r="C27" s="11" t="s">
        <v>339</v>
      </c>
      <c r="D27" s="4" t="s">
        <v>306</v>
      </c>
      <c r="E27" s="4">
        <v>31</v>
      </c>
      <c r="F27" s="4">
        <v>2</v>
      </c>
      <c r="G27" s="4"/>
      <c r="H27" s="84" t="s">
        <v>598</v>
      </c>
      <c r="I27" s="131" t="s">
        <v>341</v>
      </c>
      <c r="J27" s="122" t="s">
        <v>342</v>
      </c>
      <c r="K27" s="11" t="s">
        <v>199</v>
      </c>
      <c r="L27" s="131" t="s">
        <v>348</v>
      </c>
      <c r="M27" s="4">
        <v>1967</v>
      </c>
      <c r="N27" s="11" t="s">
        <v>347</v>
      </c>
      <c r="O27" s="122">
        <v>5</v>
      </c>
      <c r="P27" s="122">
        <v>0</v>
      </c>
      <c r="Q27" s="122">
        <v>6</v>
      </c>
      <c r="R27" s="122">
        <v>119</v>
      </c>
      <c r="S27" s="122">
        <v>5468.64</v>
      </c>
      <c r="T27" s="122">
        <v>5422.44</v>
      </c>
      <c r="U27" s="122">
        <v>3726.9</v>
      </c>
      <c r="V27" s="122"/>
      <c r="W27" s="123" t="s">
        <v>218</v>
      </c>
      <c r="X27" s="124" t="s">
        <v>218</v>
      </c>
      <c r="Y27" s="122" t="s">
        <v>218</v>
      </c>
      <c r="Z27" s="124" t="s">
        <v>218</v>
      </c>
      <c r="AA27" s="122" t="s">
        <v>218</v>
      </c>
      <c r="AB27" s="124" t="s">
        <v>219</v>
      </c>
      <c r="AC27" s="122" t="s">
        <v>219</v>
      </c>
      <c r="AD27" s="122" t="s">
        <v>218</v>
      </c>
      <c r="AE27" s="122" t="s">
        <v>219</v>
      </c>
      <c r="AF27" s="122">
        <v>0</v>
      </c>
      <c r="AG27" s="122">
        <v>1</v>
      </c>
      <c r="AH27" s="122">
        <v>1</v>
      </c>
      <c r="AI27" s="122">
        <v>1</v>
      </c>
      <c r="AJ27" s="122">
        <v>1</v>
      </c>
      <c r="AK27" s="122">
        <v>0</v>
      </c>
      <c r="AL27" s="4"/>
    </row>
    <row r="28" spans="1:38" ht="32.25" customHeight="1" x14ac:dyDescent="0.3">
      <c r="A28" s="80">
        <v>21</v>
      </c>
      <c r="B28" s="11" t="s">
        <v>338</v>
      </c>
      <c r="C28" s="11" t="s">
        <v>339</v>
      </c>
      <c r="D28" s="4" t="s">
        <v>306</v>
      </c>
      <c r="E28" s="4">
        <v>31</v>
      </c>
      <c r="F28" s="4">
        <v>4</v>
      </c>
      <c r="G28" s="4"/>
      <c r="H28" s="84" t="s">
        <v>599</v>
      </c>
      <c r="I28" s="131" t="s">
        <v>341</v>
      </c>
      <c r="J28" s="122" t="s">
        <v>342</v>
      </c>
      <c r="K28" s="11" t="s">
        <v>199</v>
      </c>
      <c r="L28" s="131" t="s">
        <v>348</v>
      </c>
      <c r="M28" s="4">
        <v>1967</v>
      </c>
      <c r="N28" s="11" t="s">
        <v>347</v>
      </c>
      <c r="O28" s="122">
        <v>5</v>
      </c>
      <c r="P28" s="122">
        <v>0</v>
      </c>
      <c r="Q28" s="122">
        <v>6</v>
      </c>
      <c r="R28" s="122">
        <v>118</v>
      </c>
      <c r="S28" s="122">
        <v>5447.74</v>
      </c>
      <c r="T28" s="122">
        <v>5401.54</v>
      </c>
      <c r="U28" s="122">
        <v>3735.67</v>
      </c>
      <c r="V28" s="122"/>
      <c r="W28" s="123" t="s">
        <v>218</v>
      </c>
      <c r="X28" s="124" t="s">
        <v>218</v>
      </c>
      <c r="Y28" s="122" t="s">
        <v>218</v>
      </c>
      <c r="Z28" s="124" t="s">
        <v>218</v>
      </c>
      <c r="AA28" s="122" t="s">
        <v>218</v>
      </c>
      <c r="AB28" s="124" t="s">
        <v>219</v>
      </c>
      <c r="AC28" s="122" t="s">
        <v>219</v>
      </c>
      <c r="AD28" s="122" t="s">
        <v>218</v>
      </c>
      <c r="AE28" s="122" t="s">
        <v>219</v>
      </c>
      <c r="AF28" s="122">
        <v>0</v>
      </c>
      <c r="AG28" s="122">
        <v>1</v>
      </c>
      <c r="AH28" s="122">
        <v>1</v>
      </c>
      <c r="AI28" s="122">
        <v>1</v>
      </c>
      <c r="AJ28" s="122">
        <v>1</v>
      </c>
      <c r="AK28" s="122">
        <v>0</v>
      </c>
      <c r="AL28" s="4"/>
    </row>
    <row r="29" spans="1:38" ht="32.25" customHeight="1" x14ac:dyDescent="0.3">
      <c r="A29" s="114">
        <v>22</v>
      </c>
      <c r="B29" s="11" t="s">
        <v>338</v>
      </c>
      <c r="C29" s="11" t="s">
        <v>339</v>
      </c>
      <c r="D29" s="4" t="s">
        <v>306</v>
      </c>
      <c r="E29" s="4">
        <v>31</v>
      </c>
      <c r="F29" s="4">
        <v>5</v>
      </c>
      <c r="G29" s="4"/>
      <c r="H29" s="84" t="s">
        <v>600</v>
      </c>
      <c r="I29" s="131" t="s">
        <v>341</v>
      </c>
      <c r="J29" s="122" t="s">
        <v>342</v>
      </c>
      <c r="K29" s="11" t="s">
        <v>343</v>
      </c>
      <c r="L29" s="131">
        <v>528</v>
      </c>
      <c r="M29" s="4">
        <v>1987</v>
      </c>
      <c r="N29" s="4" t="s">
        <v>318</v>
      </c>
      <c r="O29" s="122">
        <v>14</v>
      </c>
      <c r="P29" s="122">
        <v>0</v>
      </c>
      <c r="Q29" s="122">
        <v>1</v>
      </c>
      <c r="R29" s="122">
        <v>94</v>
      </c>
      <c r="S29" s="122">
        <v>4529.7</v>
      </c>
      <c r="T29" s="122">
        <v>4521.3999999999996</v>
      </c>
      <c r="U29" s="122">
        <v>2586.6</v>
      </c>
      <c r="V29" s="122"/>
      <c r="W29" s="123" t="s">
        <v>218</v>
      </c>
      <c r="X29" s="124" t="s">
        <v>218</v>
      </c>
      <c r="Y29" s="122" t="s">
        <v>218</v>
      </c>
      <c r="Z29" s="124" t="s">
        <v>218</v>
      </c>
      <c r="AA29" s="122" t="s">
        <v>218</v>
      </c>
      <c r="AB29" s="124" t="s">
        <v>219</v>
      </c>
      <c r="AC29" s="122" t="s">
        <v>219</v>
      </c>
      <c r="AD29" s="122" t="s">
        <v>219</v>
      </c>
      <c r="AE29" s="122" t="s">
        <v>218</v>
      </c>
      <c r="AF29" s="122">
        <v>2</v>
      </c>
      <c r="AG29" s="122">
        <v>2</v>
      </c>
      <c r="AH29" s="122">
        <v>1</v>
      </c>
      <c r="AI29" s="122">
        <v>1</v>
      </c>
      <c r="AJ29" s="122">
        <v>1</v>
      </c>
      <c r="AK29" s="122">
        <v>0</v>
      </c>
      <c r="AL29" s="4"/>
    </row>
    <row r="30" spans="1:38" ht="32.25" customHeight="1" x14ac:dyDescent="0.3">
      <c r="A30" s="5">
        <v>23</v>
      </c>
      <c r="B30" s="11" t="s">
        <v>338</v>
      </c>
      <c r="C30" s="11" t="s">
        <v>339</v>
      </c>
      <c r="D30" s="4" t="s">
        <v>306</v>
      </c>
      <c r="E30" s="4">
        <v>33</v>
      </c>
      <c r="F30" s="4">
        <v>1</v>
      </c>
      <c r="G30" s="4"/>
      <c r="H30" s="84" t="s">
        <v>601</v>
      </c>
      <c r="I30" s="131" t="s">
        <v>341</v>
      </c>
      <c r="J30" s="122" t="s">
        <v>342</v>
      </c>
      <c r="K30" s="11" t="s">
        <v>199</v>
      </c>
      <c r="L30" s="131" t="s">
        <v>349</v>
      </c>
      <c r="M30" s="4">
        <v>1969</v>
      </c>
      <c r="N30" s="11" t="s">
        <v>347</v>
      </c>
      <c r="O30" s="122">
        <v>9</v>
      </c>
      <c r="P30" s="122">
        <v>0</v>
      </c>
      <c r="Q30" s="122">
        <v>6</v>
      </c>
      <c r="R30" s="122">
        <v>211</v>
      </c>
      <c r="S30" s="122">
        <v>11221.6</v>
      </c>
      <c r="T30" s="122">
        <v>10888.9</v>
      </c>
      <c r="U30" s="122">
        <v>7194.2</v>
      </c>
      <c r="V30" s="122"/>
      <c r="W30" s="123" t="s">
        <v>218</v>
      </c>
      <c r="X30" s="124" t="s">
        <v>218</v>
      </c>
      <c r="Y30" s="122" t="s">
        <v>218</v>
      </c>
      <c r="Z30" s="124" t="s">
        <v>218</v>
      </c>
      <c r="AA30" s="122" t="s">
        <v>218</v>
      </c>
      <c r="AB30" s="124" t="s">
        <v>219</v>
      </c>
      <c r="AC30" s="122" t="s">
        <v>219</v>
      </c>
      <c r="AD30" s="122" t="s">
        <v>218</v>
      </c>
      <c r="AE30" s="122" t="s">
        <v>219</v>
      </c>
      <c r="AF30" s="122">
        <v>6</v>
      </c>
      <c r="AG30" s="122">
        <v>2</v>
      </c>
      <c r="AH30" s="122">
        <v>1</v>
      </c>
      <c r="AI30" s="122">
        <v>1</v>
      </c>
      <c r="AJ30" s="122">
        <v>1</v>
      </c>
      <c r="AK30" s="122">
        <v>0</v>
      </c>
      <c r="AL30" s="4"/>
    </row>
    <row r="31" spans="1:38" ht="32.25" customHeight="1" x14ac:dyDescent="0.3">
      <c r="A31" s="80">
        <v>24</v>
      </c>
      <c r="B31" s="11" t="s">
        <v>338</v>
      </c>
      <c r="C31" s="11" t="s">
        <v>339</v>
      </c>
      <c r="D31" s="4" t="s">
        <v>306</v>
      </c>
      <c r="E31" s="4">
        <v>33</v>
      </c>
      <c r="F31" s="4">
        <v>3</v>
      </c>
      <c r="G31" s="4"/>
      <c r="H31" s="84" t="s">
        <v>602</v>
      </c>
      <c r="I31" s="131" t="s">
        <v>341</v>
      </c>
      <c r="J31" s="122" t="s">
        <v>342</v>
      </c>
      <c r="K31" s="11" t="s">
        <v>343</v>
      </c>
      <c r="L31" s="131" t="s">
        <v>345</v>
      </c>
      <c r="M31" s="4">
        <v>1967</v>
      </c>
      <c r="N31" s="4" t="s">
        <v>318</v>
      </c>
      <c r="O31" s="122">
        <v>9</v>
      </c>
      <c r="P31" s="122">
        <v>0</v>
      </c>
      <c r="Q31" s="122">
        <v>1</v>
      </c>
      <c r="R31" s="122">
        <v>45</v>
      </c>
      <c r="S31" s="122">
        <v>2108.2399999999998</v>
      </c>
      <c r="T31" s="122">
        <v>2001.94</v>
      </c>
      <c r="U31" s="122">
        <v>1263.5</v>
      </c>
      <c r="V31" s="122"/>
      <c r="W31" s="123" t="s">
        <v>218</v>
      </c>
      <c r="X31" s="124" t="s">
        <v>218</v>
      </c>
      <c r="Y31" s="122" t="s">
        <v>218</v>
      </c>
      <c r="Z31" s="124" t="s">
        <v>218</v>
      </c>
      <c r="AA31" s="122" t="s">
        <v>218</v>
      </c>
      <c r="AB31" s="124" t="s">
        <v>219</v>
      </c>
      <c r="AC31" s="122" t="s">
        <v>219</v>
      </c>
      <c r="AD31" s="122" t="s">
        <v>218</v>
      </c>
      <c r="AE31" s="122" t="s">
        <v>219</v>
      </c>
      <c r="AF31" s="122">
        <v>1</v>
      </c>
      <c r="AG31" s="122">
        <v>2</v>
      </c>
      <c r="AH31" s="122">
        <v>1</v>
      </c>
      <c r="AI31" s="122">
        <v>1</v>
      </c>
      <c r="AJ31" s="122">
        <v>1</v>
      </c>
      <c r="AK31" s="122">
        <v>0</v>
      </c>
      <c r="AL31" s="4"/>
    </row>
    <row r="32" spans="1:38" ht="32.25" customHeight="1" x14ac:dyDescent="0.3">
      <c r="A32" s="114">
        <v>25</v>
      </c>
      <c r="B32" s="11" t="s">
        <v>338</v>
      </c>
      <c r="C32" s="11" t="s">
        <v>339</v>
      </c>
      <c r="D32" s="4" t="s">
        <v>306</v>
      </c>
      <c r="E32" s="4">
        <v>35</v>
      </c>
      <c r="F32" s="4">
        <v>2</v>
      </c>
      <c r="G32" s="4"/>
      <c r="H32" s="84" t="s">
        <v>603</v>
      </c>
      <c r="I32" s="131" t="s">
        <v>341</v>
      </c>
      <c r="J32" s="122" t="s">
        <v>342</v>
      </c>
      <c r="K32" s="11" t="s">
        <v>199</v>
      </c>
      <c r="L32" s="131" t="s">
        <v>350</v>
      </c>
      <c r="M32" s="4">
        <v>1965</v>
      </c>
      <c r="N32" s="11" t="s">
        <v>347</v>
      </c>
      <c r="O32" s="122">
        <v>5</v>
      </c>
      <c r="P32" s="122">
        <v>0</v>
      </c>
      <c r="Q32" s="122">
        <v>6</v>
      </c>
      <c r="R32" s="122">
        <v>96</v>
      </c>
      <c r="S32" s="122">
        <v>4056.64</v>
      </c>
      <c r="T32" s="122">
        <v>4009.71</v>
      </c>
      <c r="U32" s="122">
        <v>2713.39</v>
      </c>
      <c r="V32" s="122"/>
      <c r="W32" s="123" t="s">
        <v>218</v>
      </c>
      <c r="X32" s="124" t="s">
        <v>218</v>
      </c>
      <c r="Y32" s="122" t="s">
        <v>218</v>
      </c>
      <c r="Z32" s="124" t="s">
        <v>218</v>
      </c>
      <c r="AA32" s="122" t="s">
        <v>218</v>
      </c>
      <c r="AB32" s="124" t="s">
        <v>219</v>
      </c>
      <c r="AC32" s="122" t="s">
        <v>219</v>
      </c>
      <c r="AD32" s="122" t="s">
        <v>218</v>
      </c>
      <c r="AE32" s="122" t="s">
        <v>219</v>
      </c>
      <c r="AF32" s="122">
        <v>0</v>
      </c>
      <c r="AG32" s="122">
        <v>1</v>
      </c>
      <c r="AH32" s="122">
        <v>1</v>
      </c>
      <c r="AI32" s="122">
        <v>1</v>
      </c>
      <c r="AJ32" s="122">
        <v>1</v>
      </c>
      <c r="AK32" s="122">
        <v>0</v>
      </c>
      <c r="AL32" s="4"/>
    </row>
    <row r="33" spans="1:38" ht="32.25" customHeight="1" x14ac:dyDescent="0.3">
      <c r="A33" s="5">
        <v>26</v>
      </c>
      <c r="B33" s="11" t="s">
        <v>338</v>
      </c>
      <c r="C33" s="11" t="s">
        <v>339</v>
      </c>
      <c r="D33" s="4" t="s">
        <v>306</v>
      </c>
      <c r="E33" s="4">
        <v>37</v>
      </c>
      <c r="F33" s="4">
        <v>1</v>
      </c>
      <c r="G33" s="4"/>
      <c r="H33" s="84" t="s">
        <v>604</v>
      </c>
      <c r="I33" s="131" t="s">
        <v>341</v>
      </c>
      <c r="J33" s="122" t="s">
        <v>342</v>
      </c>
      <c r="K33" s="11" t="s">
        <v>343</v>
      </c>
      <c r="L33" s="131" t="s">
        <v>351</v>
      </c>
      <c r="M33" s="4">
        <v>1967</v>
      </c>
      <c r="N33" s="4" t="s">
        <v>318</v>
      </c>
      <c r="O33" s="122">
        <v>9</v>
      </c>
      <c r="P33" s="122">
        <v>0</v>
      </c>
      <c r="Q33" s="122">
        <v>1</v>
      </c>
      <c r="R33" s="122">
        <v>45</v>
      </c>
      <c r="S33" s="122">
        <v>2091.88</v>
      </c>
      <c r="T33" s="122">
        <v>1988.38</v>
      </c>
      <c r="U33" s="122">
        <v>1255</v>
      </c>
      <c r="V33" s="122"/>
      <c r="W33" s="123" t="s">
        <v>218</v>
      </c>
      <c r="X33" s="124" t="s">
        <v>218</v>
      </c>
      <c r="Y33" s="122" t="s">
        <v>218</v>
      </c>
      <c r="Z33" s="124" t="s">
        <v>218</v>
      </c>
      <c r="AA33" s="122" t="s">
        <v>218</v>
      </c>
      <c r="AB33" s="124" t="s">
        <v>219</v>
      </c>
      <c r="AC33" s="122" t="s">
        <v>219</v>
      </c>
      <c r="AD33" s="122" t="s">
        <v>218</v>
      </c>
      <c r="AE33" s="122" t="s">
        <v>219</v>
      </c>
      <c r="AF33" s="122">
        <v>1</v>
      </c>
      <c r="AG33" s="122">
        <v>2</v>
      </c>
      <c r="AH33" s="122">
        <v>1</v>
      </c>
      <c r="AI33" s="122">
        <v>1</v>
      </c>
      <c r="AJ33" s="122">
        <v>1</v>
      </c>
      <c r="AK33" s="122">
        <v>0</v>
      </c>
      <c r="AL33" s="4"/>
    </row>
    <row r="34" spans="1:38" ht="32.25" customHeight="1" x14ac:dyDescent="0.3">
      <c r="A34" s="80">
        <v>27</v>
      </c>
      <c r="B34" s="11" t="s">
        <v>338</v>
      </c>
      <c r="C34" s="11" t="s">
        <v>339</v>
      </c>
      <c r="D34" s="4" t="s">
        <v>306</v>
      </c>
      <c r="E34" s="4">
        <v>39</v>
      </c>
      <c r="F34" s="4">
        <v>4</v>
      </c>
      <c r="G34" s="4"/>
      <c r="H34" s="84" t="s">
        <v>605</v>
      </c>
      <c r="I34" s="131" t="s">
        <v>341</v>
      </c>
      <c r="J34" s="122" t="s">
        <v>342</v>
      </c>
      <c r="K34" s="11" t="s">
        <v>343</v>
      </c>
      <c r="L34" s="131" t="s">
        <v>344</v>
      </c>
      <c r="M34" s="4">
        <v>1967</v>
      </c>
      <c r="N34" s="4" t="s">
        <v>318</v>
      </c>
      <c r="O34" s="122">
        <v>9</v>
      </c>
      <c r="P34" s="122">
        <v>0</v>
      </c>
      <c r="Q34" s="122">
        <v>1</v>
      </c>
      <c r="R34" s="122">
        <v>45</v>
      </c>
      <c r="S34" s="122">
        <v>2115.2600000000002</v>
      </c>
      <c r="T34" s="122">
        <v>2001.26</v>
      </c>
      <c r="U34" s="122">
        <v>1272.8</v>
      </c>
      <c r="V34" s="122"/>
      <c r="W34" s="123" t="s">
        <v>218</v>
      </c>
      <c r="X34" s="124" t="s">
        <v>218</v>
      </c>
      <c r="Y34" s="122" t="s">
        <v>218</v>
      </c>
      <c r="Z34" s="124" t="s">
        <v>218</v>
      </c>
      <c r="AA34" s="122" t="s">
        <v>218</v>
      </c>
      <c r="AB34" s="124" t="s">
        <v>219</v>
      </c>
      <c r="AC34" s="122" t="s">
        <v>219</v>
      </c>
      <c r="AD34" s="122" t="s">
        <v>218</v>
      </c>
      <c r="AE34" s="122" t="s">
        <v>219</v>
      </c>
      <c r="AF34" s="122">
        <v>1</v>
      </c>
      <c r="AG34" s="122">
        <v>2</v>
      </c>
      <c r="AH34" s="122">
        <v>1</v>
      </c>
      <c r="AI34" s="122">
        <v>1</v>
      </c>
      <c r="AJ34" s="122">
        <v>1</v>
      </c>
      <c r="AK34" s="122">
        <v>0</v>
      </c>
      <c r="AL34" s="4"/>
    </row>
    <row r="35" spans="1:38" ht="32.25" customHeight="1" x14ac:dyDescent="0.3">
      <c r="A35" s="114">
        <v>28</v>
      </c>
      <c r="B35" s="11" t="s">
        <v>338</v>
      </c>
      <c r="C35" s="11" t="s">
        <v>339</v>
      </c>
      <c r="D35" s="4" t="s">
        <v>306</v>
      </c>
      <c r="E35" s="4">
        <v>128</v>
      </c>
      <c r="F35" s="4">
        <v>2</v>
      </c>
      <c r="G35" s="4"/>
      <c r="H35" s="84" t="s">
        <v>606</v>
      </c>
      <c r="I35" s="131" t="s">
        <v>341</v>
      </c>
      <c r="J35" s="122" t="s">
        <v>352</v>
      </c>
      <c r="K35" s="11" t="s">
        <v>343</v>
      </c>
      <c r="L35" s="131" t="s">
        <v>219</v>
      </c>
      <c r="M35" s="4">
        <v>1983</v>
      </c>
      <c r="N35" s="4" t="s">
        <v>318</v>
      </c>
      <c r="O35" s="122">
        <v>15</v>
      </c>
      <c r="P35" s="122">
        <v>0</v>
      </c>
      <c r="Q35" s="122">
        <v>1</v>
      </c>
      <c r="R35" s="122">
        <v>50</v>
      </c>
      <c r="S35" s="122">
        <v>6814.96</v>
      </c>
      <c r="T35" s="122">
        <v>5590.46</v>
      </c>
      <c r="U35" s="122">
        <v>3513</v>
      </c>
      <c r="V35" s="122"/>
      <c r="W35" s="123" t="s">
        <v>218</v>
      </c>
      <c r="X35" s="124" t="s">
        <v>218</v>
      </c>
      <c r="Y35" s="122" t="s">
        <v>218</v>
      </c>
      <c r="Z35" s="124" t="s">
        <v>218</v>
      </c>
      <c r="AA35" s="122" t="s">
        <v>218</v>
      </c>
      <c r="AB35" s="124" t="s">
        <v>219</v>
      </c>
      <c r="AC35" s="122" t="s">
        <v>219</v>
      </c>
      <c r="AD35" s="122" t="s">
        <v>219</v>
      </c>
      <c r="AE35" s="122" t="s">
        <v>218</v>
      </c>
      <c r="AF35" s="122">
        <v>3</v>
      </c>
      <c r="AG35" s="122">
        <v>3</v>
      </c>
      <c r="AH35" s="122">
        <v>4</v>
      </c>
      <c r="AI35" s="122">
        <v>4</v>
      </c>
      <c r="AJ35" s="122">
        <v>1</v>
      </c>
      <c r="AK35" s="122">
        <v>0</v>
      </c>
      <c r="AL35" s="4"/>
    </row>
    <row r="36" spans="1:38" ht="32.25" customHeight="1" x14ac:dyDescent="0.3">
      <c r="A36" s="5">
        <v>29</v>
      </c>
      <c r="B36" s="11" t="s">
        <v>338</v>
      </c>
      <c r="C36" s="11" t="s">
        <v>339</v>
      </c>
      <c r="D36" s="4" t="s">
        <v>272</v>
      </c>
      <c r="E36" s="4">
        <v>3</v>
      </c>
      <c r="F36" s="4">
        <v>4</v>
      </c>
      <c r="G36" s="4"/>
      <c r="H36" s="84" t="s">
        <v>607</v>
      </c>
      <c r="I36" s="131" t="s">
        <v>341</v>
      </c>
      <c r="J36" s="122" t="s">
        <v>352</v>
      </c>
      <c r="K36" s="11" t="s">
        <v>343</v>
      </c>
      <c r="L36" s="131" t="s">
        <v>353</v>
      </c>
      <c r="M36" s="4">
        <v>1973</v>
      </c>
      <c r="N36" s="4" t="s">
        <v>318</v>
      </c>
      <c r="O36" s="122">
        <v>9</v>
      </c>
      <c r="P36" s="122">
        <v>0</v>
      </c>
      <c r="Q36" s="122">
        <v>1</v>
      </c>
      <c r="R36" s="122">
        <v>54</v>
      </c>
      <c r="S36" s="4">
        <v>6302.99</v>
      </c>
      <c r="T36" s="4">
        <v>5630.79</v>
      </c>
      <c r="U36" s="4">
        <v>3446.5</v>
      </c>
      <c r="V36" s="4"/>
      <c r="W36" s="123" t="s">
        <v>218</v>
      </c>
      <c r="X36" s="124" t="s">
        <v>218</v>
      </c>
      <c r="Y36" s="4" t="s">
        <v>218</v>
      </c>
      <c r="Z36" s="31" t="s">
        <v>218</v>
      </c>
      <c r="AA36" s="4" t="s">
        <v>218</v>
      </c>
      <c r="AB36" s="31" t="s">
        <v>219</v>
      </c>
      <c r="AC36" s="122" t="s">
        <v>219</v>
      </c>
      <c r="AD36" s="122" t="s">
        <v>218</v>
      </c>
      <c r="AE36" s="122" t="s">
        <v>219</v>
      </c>
      <c r="AF36" s="122">
        <v>2</v>
      </c>
      <c r="AG36" s="4">
        <v>2</v>
      </c>
      <c r="AH36" s="4">
        <v>3</v>
      </c>
      <c r="AI36" s="4">
        <v>3</v>
      </c>
      <c r="AJ36" s="4">
        <v>1</v>
      </c>
      <c r="AK36" s="4">
        <v>0</v>
      </c>
      <c r="AL36" s="4"/>
    </row>
    <row r="37" spans="1:38" s="130" customFormat="1" ht="32.25" customHeight="1" x14ac:dyDescent="0.3">
      <c r="A37" s="80">
        <v>30</v>
      </c>
      <c r="B37" s="164" t="s">
        <v>338</v>
      </c>
      <c r="C37" s="164" t="s">
        <v>339</v>
      </c>
      <c r="D37" s="125" t="s">
        <v>354</v>
      </c>
      <c r="E37" s="125">
        <v>21</v>
      </c>
      <c r="F37" s="125">
        <v>1</v>
      </c>
      <c r="G37" s="125"/>
      <c r="H37" s="84" t="s">
        <v>608</v>
      </c>
      <c r="I37" s="168" t="s">
        <v>341</v>
      </c>
      <c r="J37" s="126" t="s">
        <v>352</v>
      </c>
      <c r="K37" s="164" t="s">
        <v>343</v>
      </c>
      <c r="L37" s="168" t="s">
        <v>355</v>
      </c>
      <c r="M37" s="125">
        <v>1974</v>
      </c>
      <c r="N37" s="125" t="s">
        <v>318</v>
      </c>
      <c r="O37" s="126">
        <v>9</v>
      </c>
      <c r="P37" s="126">
        <v>0</v>
      </c>
      <c r="Q37" s="126">
        <v>1</v>
      </c>
      <c r="R37" s="126">
        <v>56</v>
      </c>
      <c r="S37" s="125">
        <v>6018.27</v>
      </c>
      <c r="T37" s="125">
        <v>5696.87</v>
      </c>
      <c r="U37" s="125">
        <v>3547.2</v>
      </c>
      <c r="V37" s="125"/>
      <c r="W37" s="127" t="s">
        <v>218</v>
      </c>
      <c r="X37" s="128" t="s">
        <v>218</v>
      </c>
      <c r="Y37" s="125" t="s">
        <v>218</v>
      </c>
      <c r="Z37" s="129" t="s">
        <v>218</v>
      </c>
      <c r="AA37" s="125" t="s">
        <v>218</v>
      </c>
      <c r="AB37" s="129" t="s">
        <v>219</v>
      </c>
      <c r="AC37" s="126" t="s">
        <v>219</v>
      </c>
      <c r="AD37" s="126" t="s">
        <v>218</v>
      </c>
      <c r="AE37" s="126" t="s">
        <v>219</v>
      </c>
      <c r="AF37" s="126">
        <v>2</v>
      </c>
      <c r="AG37" s="125">
        <v>2</v>
      </c>
      <c r="AH37" s="125">
        <v>3</v>
      </c>
      <c r="AI37" s="125">
        <v>3</v>
      </c>
      <c r="AJ37" s="125">
        <v>1</v>
      </c>
      <c r="AK37" s="125">
        <v>0</v>
      </c>
      <c r="AL37" s="125"/>
    </row>
    <row r="38" spans="1:38" s="130" customFormat="1" ht="32.25" customHeight="1" x14ac:dyDescent="0.3">
      <c r="A38" s="114">
        <v>31</v>
      </c>
      <c r="B38" s="164" t="s">
        <v>338</v>
      </c>
      <c r="C38" s="164" t="s">
        <v>339</v>
      </c>
      <c r="D38" s="125" t="s">
        <v>354</v>
      </c>
      <c r="E38" s="125">
        <v>21</v>
      </c>
      <c r="F38" s="125">
        <v>2</v>
      </c>
      <c r="G38" s="125"/>
      <c r="H38" s="84" t="s">
        <v>609</v>
      </c>
      <c r="I38" s="168" t="s">
        <v>341</v>
      </c>
      <c r="J38" s="126" t="s">
        <v>352</v>
      </c>
      <c r="K38" s="164" t="s">
        <v>343</v>
      </c>
      <c r="L38" s="168" t="s">
        <v>355</v>
      </c>
      <c r="M38" s="125">
        <v>1974</v>
      </c>
      <c r="N38" s="125" t="s">
        <v>318</v>
      </c>
      <c r="O38" s="126">
        <v>9</v>
      </c>
      <c r="P38" s="126">
        <v>0</v>
      </c>
      <c r="Q38" s="126">
        <v>1</v>
      </c>
      <c r="R38" s="126">
        <v>60</v>
      </c>
      <c r="S38" s="125">
        <v>6739.8</v>
      </c>
      <c r="T38" s="125">
        <v>5958.8</v>
      </c>
      <c r="U38" s="125">
        <v>3711.1</v>
      </c>
      <c r="V38" s="125"/>
      <c r="W38" s="127" t="s">
        <v>218</v>
      </c>
      <c r="X38" s="128" t="s">
        <v>218</v>
      </c>
      <c r="Y38" s="125" t="s">
        <v>218</v>
      </c>
      <c r="Z38" s="129" t="s">
        <v>218</v>
      </c>
      <c r="AA38" s="125" t="s">
        <v>218</v>
      </c>
      <c r="AB38" s="129" t="s">
        <v>219</v>
      </c>
      <c r="AC38" s="126" t="s">
        <v>219</v>
      </c>
      <c r="AD38" s="126" t="s">
        <v>218</v>
      </c>
      <c r="AE38" s="126" t="s">
        <v>219</v>
      </c>
      <c r="AF38" s="126">
        <v>2</v>
      </c>
      <c r="AG38" s="125">
        <v>2</v>
      </c>
      <c r="AH38" s="125">
        <v>3</v>
      </c>
      <c r="AI38" s="125">
        <v>3</v>
      </c>
      <c r="AJ38" s="125">
        <v>1</v>
      </c>
      <c r="AK38" s="125">
        <v>0</v>
      </c>
      <c r="AL38" s="125"/>
    </row>
    <row r="39" spans="1:38" ht="32.25" customHeight="1" x14ac:dyDescent="0.3">
      <c r="A39" s="5">
        <v>32</v>
      </c>
      <c r="B39" s="11" t="s">
        <v>338</v>
      </c>
      <c r="C39" s="11" t="s">
        <v>339</v>
      </c>
      <c r="D39" s="4" t="s">
        <v>354</v>
      </c>
      <c r="E39" s="4">
        <v>28</v>
      </c>
      <c r="F39" s="4">
        <v>2</v>
      </c>
      <c r="G39" s="4"/>
      <c r="H39" s="84" t="s">
        <v>610</v>
      </c>
      <c r="I39" s="131" t="s">
        <v>341</v>
      </c>
      <c r="J39" s="122" t="s">
        <v>352</v>
      </c>
      <c r="K39" s="11" t="s">
        <v>343</v>
      </c>
      <c r="L39" s="131" t="s">
        <v>356</v>
      </c>
      <c r="M39" s="4">
        <v>1975</v>
      </c>
      <c r="N39" s="4" t="s">
        <v>318</v>
      </c>
      <c r="O39" s="122">
        <v>16</v>
      </c>
      <c r="P39" s="122">
        <v>0</v>
      </c>
      <c r="Q39" s="122">
        <v>1</v>
      </c>
      <c r="R39" s="122">
        <v>26</v>
      </c>
      <c r="S39" s="4">
        <v>5269.07</v>
      </c>
      <c r="T39" s="4">
        <v>5033.7700000000004</v>
      </c>
      <c r="U39" s="4">
        <v>2811</v>
      </c>
      <c r="V39" s="4"/>
      <c r="W39" s="123" t="s">
        <v>218</v>
      </c>
      <c r="X39" s="124" t="s">
        <v>218</v>
      </c>
      <c r="Y39" s="4" t="s">
        <v>218</v>
      </c>
      <c r="Z39" s="31" t="s">
        <v>218</v>
      </c>
      <c r="AA39" s="4" t="s">
        <v>218</v>
      </c>
      <c r="AB39" s="31" t="s">
        <v>219</v>
      </c>
      <c r="AC39" s="122" t="s">
        <v>219</v>
      </c>
      <c r="AD39" s="122" t="s">
        <v>219</v>
      </c>
      <c r="AE39" s="122" t="s">
        <v>218</v>
      </c>
      <c r="AF39" s="122">
        <v>2</v>
      </c>
      <c r="AG39" s="4">
        <v>4</v>
      </c>
      <c r="AH39" s="4">
        <v>3</v>
      </c>
      <c r="AI39" s="4">
        <v>2</v>
      </c>
      <c r="AJ39" s="4">
        <v>1</v>
      </c>
      <c r="AK39" s="4">
        <v>0</v>
      </c>
      <c r="AL39" s="4"/>
    </row>
    <row r="40" spans="1:38" ht="32.25" customHeight="1" x14ac:dyDescent="0.3">
      <c r="A40" s="80">
        <v>33</v>
      </c>
      <c r="B40" s="11" t="s">
        <v>338</v>
      </c>
      <c r="C40" s="11" t="s">
        <v>339</v>
      </c>
      <c r="D40" s="4" t="s">
        <v>357</v>
      </c>
      <c r="E40" s="4">
        <v>30</v>
      </c>
      <c r="F40" s="4">
        <v>3</v>
      </c>
      <c r="G40" s="4"/>
      <c r="H40" s="84" t="s">
        <v>611</v>
      </c>
      <c r="I40" s="131" t="s">
        <v>341</v>
      </c>
      <c r="J40" s="122" t="s">
        <v>342</v>
      </c>
      <c r="K40" s="11" t="s">
        <v>199</v>
      </c>
      <c r="L40" s="131" t="s">
        <v>350</v>
      </c>
      <c r="M40" s="4">
        <v>1965</v>
      </c>
      <c r="N40" s="11" t="s">
        <v>347</v>
      </c>
      <c r="O40" s="122">
        <v>5</v>
      </c>
      <c r="P40" s="122">
        <v>0</v>
      </c>
      <c r="Q40" s="122">
        <v>6</v>
      </c>
      <c r="R40" s="122">
        <v>94</v>
      </c>
      <c r="S40" s="4">
        <v>4055.58</v>
      </c>
      <c r="T40" s="4">
        <v>4006.78</v>
      </c>
      <c r="U40" s="4">
        <v>2709.9</v>
      </c>
      <c r="V40" s="4"/>
      <c r="W40" s="123" t="s">
        <v>218</v>
      </c>
      <c r="X40" s="124" t="s">
        <v>218</v>
      </c>
      <c r="Y40" s="4" t="s">
        <v>218</v>
      </c>
      <c r="Z40" s="31" t="s">
        <v>218</v>
      </c>
      <c r="AA40" s="4" t="s">
        <v>218</v>
      </c>
      <c r="AB40" s="31" t="s">
        <v>219</v>
      </c>
      <c r="AC40" s="122" t="s">
        <v>219</v>
      </c>
      <c r="AD40" s="122" t="s">
        <v>218</v>
      </c>
      <c r="AE40" s="122" t="s">
        <v>219</v>
      </c>
      <c r="AF40" s="122">
        <v>0</v>
      </c>
      <c r="AG40" s="4">
        <v>1</v>
      </c>
      <c r="AH40" s="4">
        <v>1</v>
      </c>
      <c r="AI40" s="4">
        <v>1</v>
      </c>
      <c r="AJ40" s="4">
        <v>1</v>
      </c>
      <c r="AK40" s="4">
        <v>0</v>
      </c>
      <c r="AL40" s="4"/>
    </row>
    <row r="41" spans="1:38" ht="32.25" customHeight="1" x14ac:dyDescent="0.3">
      <c r="A41" s="114">
        <v>34</v>
      </c>
      <c r="B41" s="11" t="s">
        <v>338</v>
      </c>
      <c r="C41" s="11" t="s">
        <v>339</v>
      </c>
      <c r="D41" s="4" t="s">
        <v>357</v>
      </c>
      <c r="E41" s="4">
        <v>30</v>
      </c>
      <c r="F41" s="4">
        <v>5</v>
      </c>
      <c r="G41" s="4"/>
      <c r="H41" s="84" t="s">
        <v>612</v>
      </c>
      <c r="I41" s="131" t="s">
        <v>341</v>
      </c>
      <c r="J41" s="122" t="s">
        <v>342</v>
      </c>
      <c r="K41" s="11" t="s">
        <v>199</v>
      </c>
      <c r="L41" s="131" t="s">
        <v>350</v>
      </c>
      <c r="M41" s="4">
        <v>1965</v>
      </c>
      <c r="N41" s="11" t="s">
        <v>347</v>
      </c>
      <c r="O41" s="122">
        <v>5</v>
      </c>
      <c r="P41" s="122">
        <v>0</v>
      </c>
      <c r="Q41" s="122">
        <v>6</v>
      </c>
      <c r="R41" s="122">
        <v>94</v>
      </c>
      <c r="S41" s="4">
        <v>4059.7</v>
      </c>
      <c r="T41" s="4">
        <v>4008.7</v>
      </c>
      <c r="U41" s="4">
        <v>2711.89</v>
      </c>
      <c r="V41" s="4"/>
      <c r="W41" s="123" t="s">
        <v>218</v>
      </c>
      <c r="X41" s="124" t="s">
        <v>218</v>
      </c>
      <c r="Y41" s="4" t="s">
        <v>218</v>
      </c>
      <c r="Z41" s="31" t="s">
        <v>218</v>
      </c>
      <c r="AA41" s="4" t="s">
        <v>218</v>
      </c>
      <c r="AB41" s="31" t="s">
        <v>219</v>
      </c>
      <c r="AC41" s="122" t="s">
        <v>219</v>
      </c>
      <c r="AD41" s="122" t="s">
        <v>218</v>
      </c>
      <c r="AE41" s="122" t="s">
        <v>219</v>
      </c>
      <c r="AF41" s="122">
        <v>0</v>
      </c>
      <c r="AG41" s="4">
        <v>1</v>
      </c>
      <c r="AH41" s="4">
        <v>1</v>
      </c>
      <c r="AI41" s="4">
        <v>1</v>
      </c>
      <c r="AJ41" s="4">
        <v>1</v>
      </c>
      <c r="AK41" s="4">
        <v>0</v>
      </c>
      <c r="AL41" s="4"/>
    </row>
    <row r="42" spans="1:38" ht="32.25" customHeight="1" x14ac:dyDescent="0.3">
      <c r="A42" s="5">
        <v>35</v>
      </c>
      <c r="B42" s="11" t="s">
        <v>338</v>
      </c>
      <c r="C42" s="11" t="s">
        <v>339</v>
      </c>
      <c r="D42" s="4" t="s">
        <v>357</v>
      </c>
      <c r="E42" s="4">
        <v>30</v>
      </c>
      <c r="F42" s="4">
        <v>6</v>
      </c>
      <c r="G42" s="4"/>
      <c r="H42" s="84" t="s">
        <v>613</v>
      </c>
      <c r="I42" s="131" t="s">
        <v>341</v>
      </c>
      <c r="J42" s="122" t="s">
        <v>342</v>
      </c>
      <c r="K42" s="11" t="s">
        <v>199</v>
      </c>
      <c r="L42" s="131" t="s">
        <v>350</v>
      </c>
      <c r="M42" s="4">
        <v>1965</v>
      </c>
      <c r="N42" s="11" t="s">
        <v>347</v>
      </c>
      <c r="O42" s="122">
        <v>5</v>
      </c>
      <c r="P42" s="122">
        <v>0</v>
      </c>
      <c r="Q42" s="122">
        <v>6</v>
      </c>
      <c r="R42" s="122">
        <v>92</v>
      </c>
      <c r="S42" s="4">
        <v>4062.3</v>
      </c>
      <c r="T42" s="4">
        <v>4007.3</v>
      </c>
      <c r="U42" s="4">
        <v>2705.64</v>
      </c>
      <c r="V42" s="4"/>
      <c r="W42" s="123" t="s">
        <v>218</v>
      </c>
      <c r="X42" s="124" t="s">
        <v>218</v>
      </c>
      <c r="Y42" s="4" t="s">
        <v>218</v>
      </c>
      <c r="Z42" s="31" t="s">
        <v>218</v>
      </c>
      <c r="AA42" s="4" t="s">
        <v>218</v>
      </c>
      <c r="AB42" s="31" t="s">
        <v>219</v>
      </c>
      <c r="AC42" s="122" t="s">
        <v>219</v>
      </c>
      <c r="AD42" s="122" t="s">
        <v>218</v>
      </c>
      <c r="AE42" s="122" t="s">
        <v>219</v>
      </c>
      <c r="AF42" s="122">
        <v>0</v>
      </c>
      <c r="AG42" s="4">
        <v>1</v>
      </c>
      <c r="AH42" s="4">
        <v>1</v>
      </c>
      <c r="AI42" s="4">
        <v>1</v>
      </c>
      <c r="AJ42" s="4">
        <v>1</v>
      </c>
      <c r="AK42" s="4">
        <v>0</v>
      </c>
      <c r="AL42" s="4"/>
    </row>
    <row r="43" spans="1:38" ht="32.25" customHeight="1" x14ac:dyDescent="0.3">
      <c r="A43" s="80">
        <v>36</v>
      </c>
      <c r="B43" s="11" t="s">
        <v>338</v>
      </c>
      <c r="C43" s="11" t="s">
        <v>339</v>
      </c>
      <c r="D43" s="4" t="s">
        <v>358</v>
      </c>
      <c r="E43" s="4">
        <v>9</v>
      </c>
      <c r="F43" s="4">
        <v>3</v>
      </c>
      <c r="G43" s="4"/>
      <c r="H43" s="84" t="s">
        <v>614</v>
      </c>
      <c r="I43" s="131" t="s">
        <v>341</v>
      </c>
      <c r="J43" s="122" t="s">
        <v>342</v>
      </c>
      <c r="K43" s="11" t="s">
        <v>199</v>
      </c>
      <c r="L43" s="131" t="s">
        <v>359</v>
      </c>
      <c r="M43" s="4">
        <v>1968</v>
      </c>
      <c r="N43" s="11" t="s">
        <v>347</v>
      </c>
      <c r="O43" s="122">
        <v>9</v>
      </c>
      <c r="P43" s="122">
        <v>0</v>
      </c>
      <c r="Q43" s="122">
        <v>6</v>
      </c>
      <c r="R43" s="122">
        <v>218</v>
      </c>
      <c r="S43" s="4">
        <v>11298.9</v>
      </c>
      <c r="T43" s="4">
        <v>11202.4</v>
      </c>
      <c r="U43" s="4">
        <v>7415.8</v>
      </c>
      <c r="V43" s="4"/>
      <c r="W43" s="123" t="s">
        <v>218</v>
      </c>
      <c r="X43" s="124" t="s">
        <v>218</v>
      </c>
      <c r="Y43" s="4" t="s">
        <v>218</v>
      </c>
      <c r="Z43" s="31" t="s">
        <v>218</v>
      </c>
      <c r="AA43" s="4" t="s">
        <v>218</v>
      </c>
      <c r="AB43" s="31" t="s">
        <v>219</v>
      </c>
      <c r="AC43" s="122" t="s">
        <v>219</v>
      </c>
      <c r="AD43" s="122" t="s">
        <v>218</v>
      </c>
      <c r="AE43" s="122" t="s">
        <v>219</v>
      </c>
      <c r="AF43" s="122">
        <v>6</v>
      </c>
      <c r="AG43" s="4">
        <v>2</v>
      </c>
      <c r="AH43" s="4">
        <v>1</v>
      </c>
      <c r="AI43" s="4">
        <v>1</v>
      </c>
      <c r="AJ43" s="4">
        <v>1</v>
      </c>
      <c r="AK43" s="4">
        <v>0</v>
      </c>
      <c r="AL43" s="4"/>
    </row>
    <row r="44" spans="1:38" ht="32.25" customHeight="1" x14ac:dyDescent="0.3">
      <c r="A44" s="114">
        <v>37</v>
      </c>
      <c r="B44" s="11" t="s">
        <v>338</v>
      </c>
      <c r="C44" s="11" t="s">
        <v>339</v>
      </c>
      <c r="D44" s="4" t="s">
        <v>358</v>
      </c>
      <c r="E44" s="4">
        <v>9</v>
      </c>
      <c r="F44" s="4">
        <v>4</v>
      </c>
      <c r="G44" s="4"/>
      <c r="H44" s="84" t="s">
        <v>615</v>
      </c>
      <c r="I44" s="131" t="s">
        <v>341</v>
      </c>
      <c r="J44" s="122" t="s">
        <v>342</v>
      </c>
      <c r="K44" s="11" t="s">
        <v>199</v>
      </c>
      <c r="L44" s="131" t="s">
        <v>359</v>
      </c>
      <c r="M44" s="4">
        <v>1968</v>
      </c>
      <c r="N44" s="11" t="s">
        <v>347</v>
      </c>
      <c r="O44" s="122">
        <v>9</v>
      </c>
      <c r="P44" s="122">
        <v>0</v>
      </c>
      <c r="Q44" s="122">
        <v>6</v>
      </c>
      <c r="R44" s="122">
        <v>219</v>
      </c>
      <c r="S44" s="4">
        <v>11077.84</v>
      </c>
      <c r="T44" s="4">
        <v>11077.84</v>
      </c>
      <c r="U44" s="4">
        <v>7327.7</v>
      </c>
      <c r="V44" s="4"/>
      <c r="W44" s="123" t="s">
        <v>218</v>
      </c>
      <c r="X44" s="124" t="s">
        <v>218</v>
      </c>
      <c r="Y44" s="4" t="s">
        <v>218</v>
      </c>
      <c r="Z44" s="31" t="s">
        <v>218</v>
      </c>
      <c r="AA44" s="4" t="s">
        <v>218</v>
      </c>
      <c r="AB44" s="31" t="s">
        <v>219</v>
      </c>
      <c r="AC44" s="122" t="s">
        <v>219</v>
      </c>
      <c r="AD44" s="122" t="s">
        <v>218</v>
      </c>
      <c r="AE44" s="122" t="s">
        <v>219</v>
      </c>
      <c r="AF44" s="122">
        <v>6</v>
      </c>
      <c r="AG44" s="4">
        <v>2</v>
      </c>
      <c r="AH44" s="4">
        <v>1</v>
      </c>
      <c r="AI44" s="4">
        <v>1</v>
      </c>
      <c r="AJ44" s="4">
        <v>1</v>
      </c>
      <c r="AK44" s="4">
        <v>0</v>
      </c>
      <c r="AL44" s="4"/>
    </row>
    <row r="45" spans="1:38" ht="32.25" customHeight="1" x14ac:dyDescent="0.3">
      <c r="A45" s="5">
        <v>38</v>
      </c>
      <c r="B45" s="11" t="s">
        <v>338</v>
      </c>
      <c r="C45" s="11" t="s">
        <v>339</v>
      </c>
      <c r="D45" s="4" t="s">
        <v>358</v>
      </c>
      <c r="E45" s="4">
        <v>11</v>
      </c>
      <c r="F45" s="4">
        <v>1</v>
      </c>
      <c r="G45" s="4"/>
      <c r="H45" s="84" t="s">
        <v>616</v>
      </c>
      <c r="I45" s="131" t="s">
        <v>341</v>
      </c>
      <c r="J45" s="122" t="s">
        <v>342</v>
      </c>
      <c r="K45" s="11" t="s">
        <v>343</v>
      </c>
      <c r="L45" s="131" t="s">
        <v>356</v>
      </c>
      <c r="M45" s="4">
        <v>1972</v>
      </c>
      <c r="N45" s="11" t="s">
        <v>318</v>
      </c>
      <c r="O45" s="122">
        <v>9</v>
      </c>
      <c r="P45" s="122">
        <v>0</v>
      </c>
      <c r="Q45" s="122">
        <v>6</v>
      </c>
      <c r="R45" s="122">
        <v>310</v>
      </c>
      <c r="S45" s="4">
        <v>16850.16</v>
      </c>
      <c r="T45" s="4">
        <v>15206.96</v>
      </c>
      <c r="U45" s="4">
        <v>9404.25</v>
      </c>
      <c r="V45" s="4"/>
      <c r="W45" s="123" t="s">
        <v>218</v>
      </c>
      <c r="X45" s="124" t="s">
        <v>218</v>
      </c>
      <c r="Y45" s="4" t="s">
        <v>218</v>
      </c>
      <c r="Z45" s="31" t="s">
        <v>218</v>
      </c>
      <c r="AA45" s="4" t="s">
        <v>218</v>
      </c>
      <c r="AB45" s="31" t="s">
        <v>219</v>
      </c>
      <c r="AC45" s="122" t="s">
        <v>219</v>
      </c>
      <c r="AD45" s="122" t="s">
        <v>218</v>
      </c>
      <c r="AE45" s="122" t="s">
        <v>219</v>
      </c>
      <c r="AF45" s="122">
        <v>6</v>
      </c>
      <c r="AG45" s="4">
        <v>4</v>
      </c>
      <c r="AH45" s="4">
        <v>2</v>
      </c>
      <c r="AI45" s="4">
        <v>2</v>
      </c>
      <c r="AJ45" s="4">
        <v>3</v>
      </c>
      <c r="AK45" s="4"/>
      <c r="AL45" s="4"/>
    </row>
    <row r="46" spans="1:38" s="83" customFormat="1" ht="32.25" customHeight="1" x14ac:dyDescent="0.3">
      <c r="A46" s="80">
        <v>39</v>
      </c>
      <c r="B46" s="87" t="s">
        <v>196</v>
      </c>
      <c r="C46" s="87" t="s">
        <v>370</v>
      </c>
      <c r="D46" s="138" t="s">
        <v>371</v>
      </c>
      <c r="E46" s="116">
        <v>46</v>
      </c>
      <c r="F46" s="116" t="s">
        <v>245</v>
      </c>
      <c r="G46" s="116"/>
      <c r="H46" s="84" t="s">
        <v>617</v>
      </c>
      <c r="I46" s="166" t="s">
        <v>247</v>
      </c>
      <c r="J46" s="23"/>
      <c r="K46" s="140" t="s">
        <v>372</v>
      </c>
      <c r="L46" s="166" t="s">
        <v>346</v>
      </c>
      <c r="M46" s="116">
        <v>1965</v>
      </c>
      <c r="N46" s="141" t="s">
        <v>303</v>
      </c>
      <c r="O46" s="116">
        <v>5</v>
      </c>
      <c r="P46" s="116">
        <v>0</v>
      </c>
      <c r="Q46" s="116">
        <v>9</v>
      </c>
      <c r="R46" s="116">
        <v>134</v>
      </c>
      <c r="S46" s="142">
        <v>6118.71</v>
      </c>
      <c r="T46" s="143">
        <f>S46</f>
        <v>6118.71</v>
      </c>
      <c r="U46" s="142">
        <v>4087.8</v>
      </c>
      <c r="V46" s="142">
        <f>S46-U46</f>
        <v>2030.9099999999999</v>
      </c>
      <c r="W46" s="144" t="s">
        <v>218</v>
      </c>
      <c r="X46" s="145" t="s">
        <v>218</v>
      </c>
      <c r="Y46" s="116" t="s">
        <v>218</v>
      </c>
      <c r="Z46" s="145" t="s">
        <v>218</v>
      </c>
      <c r="AA46" s="116" t="s">
        <v>218</v>
      </c>
      <c r="AB46" s="145" t="str">
        <f>AD46</f>
        <v>да</v>
      </c>
      <c r="AC46" s="116" t="s">
        <v>219</v>
      </c>
      <c r="AD46" s="116" t="s">
        <v>218</v>
      </c>
      <c r="AE46" s="116" t="s">
        <v>219</v>
      </c>
      <c r="AF46" s="145">
        <v>0</v>
      </c>
      <c r="AG46" s="116">
        <v>0</v>
      </c>
      <c r="AH46" s="132">
        <v>1</v>
      </c>
      <c r="AI46" s="116">
        <v>1</v>
      </c>
      <c r="AJ46" s="116">
        <f>'[1]ТЭ (прил. 2.1)'!AY49</f>
        <v>1</v>
      </c>
      <c r="AK46" s="116">
        <v>0</v>
      </c>
      <c r="AL46" s="81"/>
    </row>
    <row r="47" spans="1:38" s="83" customFormat="1" ht="32.25" customHeight="1" x14ac:dyDescent="0.3">
      <c r="A47" s="114">
        <v>40</v>
      </c>
      <c r="B47" s="87" t="s">
        <v>196</v>
      </c>
      <c r="C47" s="87" t="s">
        <v>373</v>
      </c>
      <c r="D47" s="138" t="s">
        <v>374</v>
      </c>
      <c r="E47" s="116" t="s">
        <v>375</v>
      </c>
      <c r="F47" s="116" t="s">
        <v>245</v>
      </c>
      <c r="G47" s="116"/>
      <c r="H47" s="84" t="s">
        <v>618</v>
      </c>
      <c r="I47" s="166" t="s">
        <v>376</v>
      </c>
      <c r="J47" s="132" t="s">
        <v>352</v>
      </c>
      <c r="K47" s="146"/>
      <c r="L47" s="166"/>
      <c r="M47" s="116"/>
      <c r="N47" s="141"/>
      <c r="O47" s="116"/>
      <c r="P47" s="116"/>
      <c r="Q47" s="116"/>
      <c r="R47" s="116"/>
      <c r="S47" s="142"/>
      <c r="T47" s="143"/>
      <c r="U47" s="142"/>
      <c r="V47" s="142"/>
      <c r="W47" s="144"/>
      <c r="X47" s="145"/>
      <c r="Y47" s="116"/>
      <c r="Z47" s="145"/>
      <c r="AA47" s="116"/>
      <c r="AB47" s="145"/>
      <c r="AC47" s="116"/>
      <c r="AD47" s="116"/>
      <c r="AE47" s="116"/>
      <c r="AF47" s="145"/>
      <c r="AG47" s="116"/>
      <c r="AH47" s="132"/>
      <c r="AI47" s="116"/>
      <c r="AJ47" s="116"/>
      <c r="AK47" s="116"/>
      <c r="AL47" s="81"/>
    </row>
    <row r="48" spans="1:38" s="83" customFormat="1" ht="32.25" customHeight="1" x14ac:dyDescent="0.3">
      <c r="A48" s="5">
        <v>41</v>
      </c>
      <c r="B48" s="87" t="s">
        <v>196</v>
      </c>
      <c r="C48" s="87" t="s">
        <v>339</v>
      </c>
      <c r="D48" s="138" t="s">
        <v>374</v>
      </c>
      <c r="E48" s="116">
        <v>26</v>
      </c>
      <c r="F48" s="116" t="s">
        <v>245</v>
      </c>
      <c r="G48" s="116"/>
      <c r="H48" s="84" t="s">
        <v>619</v>
      </c>
      <c r="I48" s="166" t="s">
        <v>376</v>
      </c>
      <c r="J48" s="132"/>
      <c r="K48" s="146" t="s">
        <v>303</v>
      </c>
      <c r="L48" s="166" t="s">
        <v>368</v>
      </c>
      <c r="M48" s="116">
        <v>1968</v>
      </c>
      <c r="N48" s="147" t="s">
        <v>377</v>
      </c>
      <c r="O48" s="116">
        <v>9</v>
      </c>
      <c r="P48" s="116">
        <v>0</v>
      </c>
      <c r="Q48" s="116">
        <v>9</v>
      </c>
      <c r="R48" s="116">
        <v>45</v>
      </c>
      <c r="S48" s="142">
        <v>2109.13</v>
      </c>
      <c r="T48" s="143">
        <f t="shared" ref="T48:T111" si="0">S48</f>
        <v>2109.13</v>
      </c>
      <c r="U48" s="142">
        <v>1269.43</v>
      </c>
      <c r="V48" s="142">
        <f t="shared" ref="V48:V111" si="1">S48-U48</f>
        <v>839.7</v>
      </c>
      <c r="W48" s="144" t="s">
        <v>218</v>
      </c>
      <c r="X48" s="145" t="s">
        <v>218</v>
      </c>
      <c r="Y48" s="116" t="s">
        <v>218</v>
      </c>
      <c r="Z48" s="145" t="s">
        <v>218</v>
      </c>
      <c r="AA48" s="116" t="s">
        <v>218</v>
      </c>
      <c r="AB48" s="145" t="str">
        <f t="shared" ref="AB48:AB111" si="2">AD48</f>
        <v>да</v>
      </c>
      <c r="AC48" s="116" t="s">
        <v>219</v>
      </c>
      <c r="AD48" s="116" t="s">
        <v>218</v>
      </c>
      <c r="AE48" s="116" t="s">
        <v>219</v>
      </c>
      <c r="AF48" s="145">
        <v>1</v>
      </c>
      <c r="AG48" s="116">
        <v>2</v>
      </c>
      <c r="AH48" s="132">
        <v>1</v>
      </c>
      <c r="AI48" s="116">
        <v>1</v>
      </c>
      <c r="AJ48" s="116">
        <f>'[1]ТЭ (прил. 2.1)'!AY51</f>
        <v>1</v>
      </c>
      <c r="AK48" s="116">
        <v>0</v>
      </c>
      <c r="AL48" s="81"/>
    </row>
    <row r="49" spans="1:38" s="83" customFormat="1" ht="32.25" customHeight="1" x14ac:dyDescent="0.3">
      <c r="A49" s="80">
        <v>42</v>
      </c>
      <c r="B49" s="87" t="s">
        <v>196</v>
      </c>
      <c r="C49" s="87" t="s">
        <v>339</v>
      </c>
      <c r="D49" s="138" t="s">
        <v>374</v>
      </c>
      <c r="E49" s="116">
        <v>30</v>
      </c>
      <c r="F49" s="116">
        <v>1</v>
      </c>
      <c r="G49" s="116"/>
      <c r="H49" s="84" t="s">
        <v>620</v>
      </c>
      <c r="I49" s="166" t="s">
        <v>376</v>
      </c>
      <c r="J49" s="132"/>
      <c r="K49" s="146" t="s">
        <v>303</v>
      </c>
      <c r="L49" s="166" t="s">
        <v>368</v>
      </c>
      <c r="M49" s="116">
        <v>1964</v>
      </c>
      <c r="N49" s="147" t="s">
        <v>377</v>
      </c>
      <c r="O49" s="116">
        <v>9</v>
      </c>
      <c r="P49" s="116">
        <v>0</v>
      </c>
      <c r="Q49" s="116">
        <v>1</v>
      </c>
      <c r="R49" s="116">
        <v>46</v>
      </c>
      <c r="S49" s="142">
        <v>2083.13</v>
      </c>
      <c r="T49" s="143">
        <f t="shared" si="0"/>
        <v>2083.13</v>
      </c>
      <c r="U49" s="142">
        <v>1261.0999999999999</v>
      </c>
      <c r="V49" s="142">
        <f t="shared" si="1"/>
        <v>822.0300000000002</v>
      </c>
      <c r="W49" s="144" t="s">
        <v>218</v>
      </c>
      <c r="X49" s="145" t="s">
        <v>218</v>
      </c>
      <c r="Y49" s="116" t="s">
        <v>218</v>
      </c>
      <c r="Z49" s="145" t="s">
        <v>218</v>
      </c>
      <c r="AA49" s="116" t="s">
        <v>218</v>
      </c>
      <c r="AB49" s="145" t="str">
        <f t="shared" si="2"/>
        <v>да</v>
      </c>
      <c r="AC49" s="116" t="s">
        <v>219</v>
      </c>
      <c r="AD49" s="116" t="s">
        <v>218</v>
      </c>
      <c r="AE49" s="116" t="s">
        <v>219</v>
      </c>
      <c r="AF49" s="145">
        <v>1</v>
      </c>
      <c r="AG49" s="116">
        <v>2</v>
      </c>
      <c r="AH49" s="132">
        <v>1</v>
      </c>
      <c r="AI49" s="116">
        <v>1</v>
      </c>
      <c r="AJ49" s="116">
        <f>'[1]ТЭ (прил. 2.1)'!AY52</f>
        <v>1</v>
      </c>
      <c r="AK49" s="116">
        <v>0</v>
      </c>
      <c r="AL49" s="81"/>
    </row>
    <row r="50" spans="1:38" s="83" customFormat="1" ht="32.25" customHeight="1" x14ac:dyDescent="0.3">
      <c r="A50" s="114">
        <v>43</v>
      </c>
      <c r="B50" s="87" t="s">
        <v>196</v>
      </c>
      <c r="C50" s="87" t="s">
        <v>339</v>
      </c>
      <c r="D50" s="138" t="s">
        <v>374</v>
      </c>
      <c r="E50" s="116">
        <v>34</v>
      </c>
      <c r="F50" s="116" t="s">
        <v>245</v>
      </c>
      <c r="G50" s="116"/>
      <c r="H50" s="84" t="s">
        <v>621</v>
      </c>
      <c r="I50" s="166" t="s">
        <v>376</v>
      </c>
      <c r="J50" s="132"/>
      <c r="K50" s="146" t="s">
        <v>303</v>
      </c>
      <c r="L50" s="166" t="s">
        <v>368</v>
      </c>
      <c r="M50" s="116">
        <v>1968</v>
      </c>
      <c r="N50" s="147" t="s">
        <v>377</v>
      </c>
      <c r="O50" s="116">
        <v>9</v>
      </c>
      <c r="P50" s="116">
        <v>0</v>
      </c>
      <c r="Q50" s="116">
        <v>1</v>
      </c>
      <c r="R50" s="116">
        <v>47</v>
      </c>
      <c r="S50" s="142">
        <v>2048</v>
      </c>
      <c r="T50" s="143">
        <f t="shared" si="0"/>
        <v>2048</v>
      </c>
      <c r="U50" s="142">
        <v>1250.3599999999999</v>
      </c>
      <c r="V50" s="142">
        <f t="shared" si="1"/>
        <v>797.6400000000001</v>
      </c>
      <c r="W50" s="144" t="s">
        <v>218</v>
      </c>
      <c r="X50" s="145" t="s">
        <v>218</v>
      </c>
      <c r="Y50" s="116" t="s">
        <v>218</v>
      </c>
      <c r="Z50" s="145" t="s">
        <v>218</v>
      </c>
      <c r="AA50" s="116" t="s">
        <v>218</v>
      </c>
      <c r="AB50" s="145" t="str">
        <f t="shared" si="2"/>
        <v>да</v>
      </c>
      <c r="AC50" s="116" t="s">
        <v>219</v>
      </c>
      <c r="AD50" s="116" t="s">
        <v>218</v>
      </c>
      <c r="AE50" s="116" t="s">
        <v>219</v>
      </c>
      <c r="AF50" s="145">
        <v>1</v>
      </c>
      <c r="AG50" s="116">
        <v>2</v>
      </c>
      <c r="AH50" s="132">
        <v>1</v>
      </c>
      <c r="AI50" s="116">
        <v>1</v>
      </c>
      <c r="AJ50" s="116">
        <f>'[1]ТЭ (прил. 2.1)'!AY53</f>
        <v>2</v>
      </c>
      <c r="AK50" s="116">
        <v>0</v>
      </c>
      <c r="AL50" s="81"/>
    </row>
    <row r="51" spans="1:38" s="83" customFormat="1" ht="32.25" customHeight="1" x14ac:dyDescent="0.3">
      <c r="A51" s="5">
        <v>44</v>
      </c>
      <c r="B51" s="87" t="s">
        <v>196</v>
      </c>
      <c r="C51" s="87" t="s">
        <v>339</v>
      </c>
      <c r="D51" s="138" t="s">
        <v>374</v>
      </c>
      <c r="E51" s="116">
        <v>36</v>
      </c>
      <c r="F51" s="116">
        <v>1</v>
      </c>
      <c r="G51" s="116"/>
      <c r="H51" s="84" t="s">
        <v>622</v>
      </c>
      <c r="I51" s="166" t="s">
        <v>376</v>
      </c>
      <c r="J51" s="132"/>
      <c r="K51" s="146" t="s">
        <v>199</v>
      </c>
      <c r="L51" s="166" t="s">
        <v>378</v>
      </c>
      <c r="M51" s="116">
        <v>1971</v>
      </c>
      <c r="N51" s="147" t="s">
        <v>303</v>
      </c>
      <c r="O51" s="116">
        <v>9</v>
      </c>
      <c r="P51" s="116">
        <v>0</v>
      </c>
      <c r="Q51" s="116">
        <v>11</v>
      </c>
      <c r="R51" s="116">
        <v>417</v>
      </c>
      <c r="S51" s="142">
        <v>21454.3</v>
      </c>
      <c r="T51" s="143">
        <f t="shared" si="0"/>
        <v>21454.3</v>
      </c>
      <c r="U51" s="142">
        <v>13370.97</v>
      </c>
      <c r="V51" s="142">
        <f t="shared" si="1"/>
        <v>8083.33</v>
      </c>
      <c r="W51" s="144" t="s">
        <v>218</v>
      </c>
      <c r="X51" s="145" t="s">
        <v>218</v>
      </c>
      <c r="Y51" s="116" t="s">
        <v>218</v>
      </c>
      <c r="Z51" s="145" t="s">
        <v>218</v>
      </c>
      <c r="AA51" s="116" t="s">
        <v>218</v>
      </c>
      <c r="AB51" s="145" t="str">
        <f t="shared" si="2"/>
        <v>да</v>
      </c>
      <c r="AC51" s="116" t="s">
        <v>219</v>
      </c>
      <c r="AD51" s="116" t="s">
        <v>218</v>
      </c>
      <c r="AE51" s="116" t="s">
        <v>219</v>
      </c>
      <c r="AF51" s="145">
        <v>11</v>
      </c>
      <c r="AG51" s="116">
        <v>2</v>
      </c>
      <c r="AH51" s="132">
        <v>2</v>
      </c>
      <c r="AI51" s="116">
        <v>2</v>
      </c>
      <c r="AJ51" s="116">
        <f>'[1]ТЭ (прил. 2.1)'!AY54</f>
        <v>4</v>
      </c>
      <c r="AK51" s="116">
        <v>0</v>
      </c>
      <c r="AL51" s="81"/>
    </row>
    <row r="52" spans="1:38" s="83" customFormat="1" ht="32.25" customHeight="1" x14ac:dyDescent="0.3">
      <c r="A52" s="80">
        <v>45</v>
      </c>
      <c r="B52" s="87" t="s">
        <v>196</v>
      </c>
      <c r="C52" s="87" t="s">
        <v>339</v>
      </c>
      <c r="D52" s="138" t="s">
        <v>374</v>
      </c>
      <c r="E52" s="116">
        <v>38</v>
      </c>
      <c r="F52" s="116">
        <v>3</v>
      </c>
      <c r="G52" s="116"/>
      <c r="H52" s="84" t="s">
        <v>623</v>
      </c>
      <c r="I52" s="166" t="s">
        <v>376</v>
      </c>
      <c r="J52" s="132"/>
      <c r="K52" s="146" t="s">
        <v>303</v>
      </c>
      <c r="L52" s="166" t="s">
        <v>369</v>
      </c>
      <c r="M52" s="116">
        <v>1966</v>
      </c>
      <c r="N52" s="147" t="s">
        <v>377</v>
      </c>
      <c r="O52" s="116">
        <v>9</v>
      </c>
      <c r="P52" s="116">
        <v>0</v>
      </c>
      <c r="Q52" s="116">
        <v>4</v>
      </c>
      <c r="R52" s="116">
        <v>233</v>
      </c>
      <c r="S52" s="142">
        <v>11236.94</v>
      </c>
      <c r="T52" s="143">
        <f t="shared" si="0"/>
        <v>11236.94</v>
      </c>
      <c r="U52" s="142">
        <v>7260.21</v>
      </c>
      <c r="V52" s="142">
        <f t="shared" si="1"/>
        <v>3976.7300000000005</v>
      </c>
      <c r="W52" s="144" t="s">
        <v>218</v>
      </c>
      <c r="X52" s="145" t="s">
        <v>218</v>
      </c>
      <c r="Y52" s="116" t="s">
        <v>218</v>
      </c>
      <c r="Z52" s="145" t="s">
        <v>218</v>
      </c>
      <c r="AA52" s="116" t="s">
        <v>218</v>
      </c>
      <c r="AB52" s="145" t="str">
        <f t="shared" si="2"/>
        <v>да</v>
      </c>
      <c r="AC52" s="116" t="s">
        <v>219</v>
      </c>
      <c r="AD52" s="116" t="s">
        <v>218</v>
      </c>
      <c r="AE52" s="116" t="s">
        <v>219</v>
      </c>
      <c r="AF52" s="145">
        <v>4</v>
      </c>
      <c r="AG52" s="116">
        <v>2</v>
      </c>
      <c r="AH52" s="132">
        <v>1</v>
      </c>
      <c r="AI52" s="116">
        <v>2</v>
      </c>
      <c r="AJ52" s="116">
        <f>'[1]ТЭ (прил. 2.1)'!AY55</f>
        <v>1</v>
      </c>
      <c r="AK52" s="116">
        <v>0</v>
      </c>
      <c r="AL52" s="81"/>
    </row>
    <row r="53" spans="1:38" s="83" customFormat="1" ht="32.25" customHeight="1" x14ac:dyDescent="0.3">
      <c r="A53" s="114">
        <v>46</v>
      </c>
      <c r="B53" s="87" t="s">
        <v>196</v>
      </c>
      <c r="C53" s="87" t="s">
        <v>339</v>
      </c>
      <c r="D53" s="138" t="s">
        <v>374</v>
      </c>
      <c r="E53" s="116">
        <v>38</v>
      </c>
      <c r="F53" s="116">
        <v>7</v>
      </c>
      <c r="G53" s="116"/>
      <c r="H53" s="84" t="s">
        <v>624</v>
      </c>
      <c r="I53" s="166" t="s">
        <v>376</v>
      </c>
      <c r="J53" s="132" t="s">
        <v>308</v>
      </c>
      <c r="K53" s="140"/>
      <c r="L53" s="166"/>
      <c r="M53" s="116"/>
      <c r="N53" s="147"/>
      <c r="O53" s="116"/>
      <c r="P53" s="116"/>
      <c r="Q53" s="116"/>
      <c r="R53" s="116"/>
      <c r="S53" s="142"/>
      <c r="T53" s="143"/>
      <c r="U53" s="142"/>
      <c r="V53" s="142"/>
      <c r="W53" s="144"/>
      <c r="X53" s="145"/>
      <c r="Y53" s="116"/>
      <c r="Z53" s="145"/>
      <c r="AA53" s="116"/>
      <c r="AB53" s="145"/>
      <c r="AC53" s="116"/>
      <c r="AD53" s="116"/>
      <c r="AE53" s="116"/>
      <c r="AF53" s="145"/>
      <c r="AG53" s="116"/>
      <c r="AH53" s="132"/>
      <c r="AI53" s="116"/>
      <c r="AJ53" s="116"/>
      <c r="AK53" s="116"/>
      <c r="AL53" s="81"/>
    </row>
    <row r="54" spans="1:38" s="83" customFormat="1" ht="32.25" customHeight="1" x14ac:dyDescent="0.3">
      <c r="A54" s="5">
        <v>47</v>
      </c>
      <c r="B54" s="87" t="s">
        <v>196</v>
      </c>
      <c r="C54" s="87" t="s">
        <v>339</v>
      </c>
      <c r="D54" s="138" t="s">
        <v>374</v>
      </c>
      <c r="E54" s="116">
        <v>40</v>
      </c>
      <c r="F54" s="116">
        <v>1</v>
      </c>
      <c r="G54" s="116"/>
      <c r="H54" s="84" t="s">
        <v>625</v>
      </c>
      <c r="I54" s="166" t="s">
        <v>376</v>
      </c>
      <c r="J54" s="23"/>
      <c r="K54" s="140" t="s">
        <v>372</v>
      </c>
      <c r="L54" s="166" t="s">
        <v>311</v>
      </c>
      <c r="M54" s="116">
        <v>1965</v>
      </c>
      <c r="N54" s="147" t="s">
        <v>303</v>
      </c>
      <c r="O54" s="116">
        <v>5</v>
      </c>
      <c r="P54" s="116">
        <v>0</v>
      </c>
      <c r="Q54" s="116">
        <v>9</v>
      </c>
      <c r="R54" s="116">
        <v>142</v>
      </c>
      <c r="S54" s="142">
        <v>6005.75</v>
      </c>
      <c r="T54" s="143">
        <f t="shared" si="0"/>
        <v>6005.75</v>
      </c>
      <c r="U54" s="142">
        <v>4056.3</v>
      </c>
      <c r="V54" s="142">
        <f t="shared" si="1"/>
        <v>1949.4499999999998</v>
      </c>
      <c r="W54" s="144" t="s">
        <v>218</v>
      </c>
      <c r="X54" s="145" t="s">
        <v>218</v>
      </c>
      <c r="Y54" s="116" t="s">
        <v>218</v>
      </c>
      <c r="Z54" s="145" t="s">
        <v>218</v>
      </c>
      <c r="AA54" s="116" t="s">
        <v>218</v>
      </c>
      <c r="AB54" s="145" t="str">
        <f t="shared" si="2"/>
        <v>да</v>
      </c>
      <c r="AC54" s="116" t="s">
        <v>219</v>
      </c>
      <c r="AD54" s="116" t="s">
        <v>218</v>
      </c>
      <c r="AE54" s="116" t="s">
        <v>219</v>
      </c>
      <c r="AF54" s="145">
        <v>0</v>
      </c>
      <c r="AG54" s="116">
        <v>1</v>
      </c>
      <c r="AH54" s="132">
        <v>1</v>
      </c>
      <c r="AI54" s="116">
        <v>1</v>
      </c>
      <c r="AJ54" s="116">
        <f>'[1]ТЭ (прил. 2.1)'!AY57</f>
        <v>4</v>
      </c>
      <c r="AK54" s="116">
        <v>0</v>
      </c>
      <c r="AL54" s="81"/>
    </row>
    <row r="55" spans="1:38" s="83" customFormat="1" ht="32.25" customHeight="1" x14ac:dyDescent="0.3">
      <c r="A55" s="80">
        <v>48</v>
      </c>
      <c r="B55" s="87" t="s">
        <v>196</v>
      </c>
      <c r="C55" s="87" t="s">
        <v>339</v>
      </c>
      <c r="D55" s="138" t="s">
        <v>374</v>
      </c>
      <c r="E55" s="116">
        <v>42</v>
      </c>
      <c r="F55" s="116">
        <v>4</v>
      </c>
      <c r="G55" s="116"/>
      <c r="H55" s="84" t="s">
        <v>626</v>
      </c>
      <c r="I55" s="166" t="s">
        <v>376</v>
      </c>
      <c r="J55" s="23" t="s">
        <v>308</v>
      </c>
      <c r="K55" s="146"/>
      <c r="L55" s="166"/>
      <c r="M55" s="116"/>
      <c r="N55" s="141"/>
      <c r="O55" s="116"/>
      <c r="P55" s="116"/>
      <c r="Q55" s="116"/>
      <c r="R55" s="116"/>
      <c r="S55" s="142"/>
      <c r="T55" s="143"/>
      <c r="U55" s="142"/>
      <c r="V55" s="142"/>
      <c r="W55" s="144"/>
      <c r="X55" s="145"/>
      <c r="Y55" s="116"/>
      <c r="Z55" s="145"/>
      <c r="AA55" s="116"/>
      <c r="AB55" s="145"/>
      <c r="AC55" s="116"/>
      <c r="AD55" s="116"/>
      <c r="AE55" s="116"/>
      <c r="AF55" s="145"/>
      <c r="AG55" s="116"/>
      <c r="AH55" s="132"/>
      <c r="AI55" s="116"/>
      <c r="AJ55" s="116"/>
      <c r="AK55" s="116"/>
      <c r="AL55" s="81"/>
    </row>
    <row r="56" spans="1:38" s="83" customFormat="1" ht="32.25" customHeight="1" x14ac:dyDescent="0.3">
      <c r="A56" s="114">
        <v>49</v>
      </c>
      <c r="B56" s="87" t="s">
        <v>196</v>
      </c>
      <c r="C56" s="87" t="s">
        <v>370</v>
      </c>
      <c r="D56" s="138" t="s">
        <v>374</v>
      </c>
      <c r="E56" s="116">
        <v>86</v>
      </c>
      <c r="F56" s="116">
        <v>1</v>
      </c>
      <c r="G56" s="116"/>
      <c r="H56" s="84" t="s">
        <v>627</v>
      </c>
      <c r="I56" s="166" t="s">
        <v>376</v>
      </c>
      <c r="J56" s="23"/>
      <c r="K56" s="146" t="s">
        <v>199</v>
      </c>
      <c r="L56" s="166" t="s">
        <v>378</v>
      </c>
      <c r="M56" s="116">
        <v>1977</v>
      </c>
      <c r="N56" s="141" t="s">
        <v>200</v>
      </c>
      <c r="O56" s="116">
        <v>9</v>
      </c>
      <c r="P56" s="116">
        <v>0</v>
      </c>
      <c r="Q56" s="116">
        <v>10</v>
      </c>
      <c r="R56" s="116">
        <v>380</v>
      </c>
      <c r="S56" s="142">
        <v>20486.900000000001</v>
      </c>
      <c r="T56" s="143">
        <f t="shared" si="0"/>
        <v>20486.900000000001</v>
      </c>
      <c r="U56" s="142">
        <v>12421.4</v>
      </c>
      <c r="V56" s="142">
        <f t="shared" si="1"/>
        <v>8065.5000000000018</v>
      </c>
      <c r="W56" s="144" t="s">
        <v>218</v>
      </c>
      <c r="X56" s="145" t="s">
        <v>218</v>
      </c>
      <c r="Y56" s="116" t="s">
        <v>218</v>
      </c>
      <c r="Z56" s="145" t="s">
        <v>218</v>
      </c>
      <c r="AA56" s="116" t="s">
        <v>218</v>
      </c>
      <c r="AB56" s="145" t="str">
        <f t="shared" si="2"/>
        <v>да</v>
      </c>
      <c r="AC56" s="116" t="s">
        <v>219</v>
      </c>
      <c r="AD56" s="116" t="s">
        <v>218</v>
      </c>
      <c r="AE56" s="116" t="s">
        <v>219</v>
      </c>
      <c r="AF56" s="145">
        <v>10</v>
      </c>
      <c r="AG56" s="116">
        <v>6</v>
      </c>
      <c r="AH56" s="132">
        <v>2</v>
      </c>
      <c r="AI56" s="116">
        <v>4</v>
      </c>
      <c r="AJ56" s="116">
        <f>'[1]ТЭ (прил. 2.1)'!AY59</f>
        <v>1</v>
      </c>
      <c r="AK56" s="116">
        <v>0</v>
      </c>
      <c r="AL56" s="81"/>
    </row>
    <row r="57" spans="1:38" s="83" customFormat="1" ht="32.25" customHeight="1" x14ac:dyDescent="0.3">
      <c r="A57" s="5">
        <v>50</v>
      </c>
      <c r="B57" s="87" t="s">
        <v>196</v>
      </c>
      <c r="C57" s="87" t="s">
        <v>370</v>
      </c>
      <c r="D57" s="138" t="s">
        <v>374</v>
      </c>
      <c r="E57" s="116">
        <v>88</v>
      </c>
      <c r="F57" s="116">
        <v>1</v>
      </c>
      <c r="G57" s="116"/>
      <c r="H57" s="84" t="s">
        <v>628</v>
      </c>
      <c r="I57" s="166" t="s">
        <v>376</v>
      </c>
      <c r="J57" s="23"/>
      <c r="K57" s="146" t="s">
        <v>199</v>
      </c>
      <c r="L57" s="166" t="s">
        <v>379</v>
      </c>
      <c r="M57" s="116">
        <v>1976</v>
      </c>
      <c r="N57" s="141" t="s">
        <v>303</v>
      </c>
      <c r="O57" s="116">
        <v>14</v>
      </c>
      <c r="P57" s="116">
        <v>0</v>
      </c>
      <c r="Q57" s="116">
        <v>4</v>
      </c>
      <c r="R57" s="116">
        <v>341</v>
      </c>
      <c r="S57" s="142">
        <v>16774.8</v>
      </c>
      <c r="T57" s="143">
        <f t="shared" si="0"/>
        <v>16774.8</v>
      </c>
      <c r="U57" s="142">
        <v>9883.82</v>
      </c>
      <c r="V57" s="142">
        <f t="shared" si="1"/>
        <v>6890.98</v>
      </c>
      <c r="W57" s="144" t="s">
        <v>218</v>
      </c>
      <c r="X57" s="145" t="s">
        <v>218</v>
      </c>
      <c r="Y57" s="116" t="s">
        <v>218</v>
      </c>
      <c r="Z57" s="145" t="s">
        <v>218</v>
      </c>
      <c r="AA57" s="116" t="s">
        <v>218</v>
      </c>
      <c r="AB57" s="145" t="str">
        <f t="shared" si="2"/>
        <v>да</v>
      </c>
      <c r="AC57" s="116" t="s">
        <v>219</v>
      </c>
      <c r="AD57" s="116" t="s">
        <v>218</v>
      </c>
      <c r="AE57" s="116" t="s">
        <v>219</v>
      </c>
      <c r="AF57" s="145">
        <v>8</v>
      </c>
      <c r="AG57" s="116">
        <v>2</v>
      </c>
      <c r="AH57" s="132">
        <v>3</v>
      </c>
      <c r="AI57" s="116">
        <v>1</v>
      </c>
      <c r="AJ57" s="116">
        <f>'[1]ТЭ (прил. 2.1)'!AY60</f>
        <v>1</v>
      </c>
      <c r="AK57" s="116">
        <v>0</v>
      </c>
      <c r="AL57" s="81"/>
    </row>
    <row r="58" spans="1:38" s="83" customFormat="1" ht="32.25" customHeight="1" x14ac:dyDescent="0.3">
      <c r="A58" s="80">
        <v>51</v>
      </c>
      <c r="B58" s="87" t="s">
        <v>196</v>
      </c>
      <c r="C58" s="87" t="s">
        <v>370</v>
      </c>
      <c r="D58" s="138" t="s">
        <v>374</v>
      </c>
      <c r="E58" s="116">
        <v>88</v>
      </c>
      <c r="F58" s="116">
        <v>3</v>
      </c>
      <c r="G58" s="116"/>
      <c r="H58" s="84" t="s">
        <v>629</v>
      </c>
      <c r="I58" s="166" t="s">
        <v>376</v>
      </c>
      <c r="J58" s="23"/>
      <c r="K58" s="146" t="s">
        <v>199</v>
      </c>
      <c r="L58" s="166" t="s">
        <v>378</v>
      </c>
      <c r="M58" s="116">
        <v>1977</v>
      </c>
      <c r="N58" s="147" t="s">
        <v>380</v>
      </c>
      <c r="O58" s="116">
        <v>9</v>
      </c>
      <c r="P58" s="116">
        <v>0</v>
      </c>
      <c r="Q58" s="116">
        <v>9</v>
      </c>
      <c r="R58" s="116">
        <v>324</v>
      </c>
      <c r="S58" s="142">
        <v>16533.3</v>
      </c>
      <c r="T58" s="143">
        <f t="shared" si="0"/>
        <v>16533.3</v>
      </c>
      <c r="U58" s="142">
        <v>9848.9</v>
      </c>
      <c r="V58" s="142">
        <f t="shared" si="1"/>
        <v>6684.4</v>
      </c>
      <c r="W58" s="144" t="s">
        <v>218</v>
      </c>
      <c r="X58" s="145" t="s">
        <v>218</v>
      </c>
      <c r="Y58" s="116" t="s">
        <v>218</v>
      </c>
      <c r="Z58" s="145" t="s">
        <v>218</v>
      </c>
      <c r="AA58" s="116" t="s">
        <v>218</v>
      </c>
      <c r="AB58" s="145" t="str">
        <f t="shared" si="2"/>
        <v>да</v>
      </c>
      <c r="AC58" s="116" t="s">
        <v>219</v>
      </c>
      <c r="AD58" s="116" t="s">
        <v>218</v>
      </c>
      <c r="AE58" s="116" t="s">
        <v>219</v>
      </c>
      <c r="AF58" s="145">
        <v>9</v>
      </c>
      <c r="AG58" s="116">
        <v>4</v>
      </c>
      <c r="AH58" s="132">
        <v>2</v>
      </c>
      <c r="AI58" s="116">
        <v>3</v>
      </c>
      <c r="AJ58" s="116">
        <f>'[1]ТЭ (прил. 2.1)'!AY61</f>
        <v>0</v>
      </c>
      <c r="AK58" s="116">
        <v>0</v>
      </c>
      <c r="AL58" s="81"/>
    </row>
    <row r="59" spans="1:38" s="83" customFormat="1" ht="32.25" customHeight="1" x14ac:dyDescent="0.3">
      <c r="A59" s="114">
        <v>52</v>
      </c>
      <c r="B59" s="87" t="s">
        <v>196</v>
      </c>
      <c r="C59" s="87" t="s">
        <v>381</v>
      </c>
      <c r="D59" s="138" t="s">
        <v>382</v>
      </c>
      <c r="E59" s="116">
        <v>116</v>
      </c>
      <c r="F59" s="116">
        <v>1</v>
      </c>
      <c r="G59" s="116"/>
      <c r="H59" s="84" t="s">
        <v>630</v>
      </c>
      <c r="I59" s="166" t="s">
        <v>376</v>
      </c>
      <c r="J59" s="23"/>
      <c r="K59" s="146" t="s">
        <v>199</v>
      </c>
      <c r="L59" s="166">
        <v>137</v>
      </c>
      <c r="M59" s="116">
        <v>1984</v>
      </c>
      <c r="N59" s="147" t="s">
        <v>377</v>
      </c>
      <c r="O59" s="148" t="s">
        <v>201</v>
      </c>
      <c r="P59" s="116">
        <v>0</v>
      </c>
      <c r="Q59" s="116">
        <v>4</v>
      </c>
      <c r="R59" s="116">
        <v>290</v>
      </c>
      <c r="S59" s="142">
        <v>17340.3</v>
      </c>
      <c r="T59" s="143">
        <f t="shared" si="0"/>
        <v>17340.3</v>
      </c>
      <c r="U59" s="142">
        <v>9417.1</v>
      </c>
      <c r="V59" s="142">
        <f t="shared" si="1"/>
        <v>7923.1999999999989</v>
      </c>
      <c r="W59" s="144" t="s">
        <v>218</v>
      </c>
      <c r="X59" s="145" t="s">
        <v>218</v>
      </c>
      <c r="Y59" s="116" t="s">
        <v>218</v>
      </c>
      <c r="Z59" s="145" t="s">
        <v>218</v>
      </c>
      <c r="AA59" s="116" t="s">
        <v>218</v>
      </c>
      <c r="AB59" s="145" t="str">
        <f t="shared" si="2"/>
        <v>нет</v>
      </c>
      <c r="AC59" s="116" t="s">
        <v>219</v>
      </c>
      <c r="AD59" s="116" t="s">
        <v>219</v>
      </c>
      <c r="AE59" s="116" t="s">
        <v>218</v>
      </c>
      <c r="AF59" s="145">
        <v>8</v>
      </c>
      <c r="AG59" s="116">
        <v>2</v>
      </c>
      <c r="AH59" s="132">
        <v>4</v>
      </c>
      <c r="AI59" s="116">
        <v>1</v>
      </c>
      <c r="AJ59" s="116">
        <f>'[1]ТЭ (прил. 2.1)'!AY62</f>
        <v>1</v>
      </c>
      <c r="AK59" s="116">
        <v>0</v>
      </c>
      <c r="AL59" s="81"/>
    </row>
    <row r="60" spans="1:38" s="83" customFormat="1" ht="32.25" customHeight="1" x14ac:dyDescent="0.3">
      <c r="A60" s="5">
        <v>53</v>
      </c>
      <c r="B60" s="87" t="s">
        <v>196</v>
      </c>
      <c r="C60" s="87" t="s">
        <v>381</v>
      </c>
      <c r="D60" s="138" t="s">
        <v>382</v>
      </c>
      <c r="E60" s="116">
        <v>120</v>
      </c>
      <c r="F60" s="116">
        <v>1</v>
      </c>
      <c r="G60" s="116"/>
      <c r="H60" s="84" t="s">
        <v>631</v>
      </c>
      <c r="I60" s="166" t="s">
        <v>376</v>
      </c>
      <c r="J60" s="23" t="s">
        <v>383</v>
      </c>
      <c r="K60" s="146"/>
      <c r="L60" s="166"/>
      <c r="M60" s="116"/>
      <c r="N60" s="147"/>
      <c r="O60" s="148"/>
      <c r="P60" s="116"/>
      <c r="Q60" s="116"/>
      <c r="R60" s="116"/>
      <c r="S60" s="142"/>
      <c r="T60" s="143"/>
      <c r="U60" s="142"/>
      <c r="V60" s="142"/>
      <c r="W60" s="144"/>
      <c r="X60" s="145"/>
      <c r="Y60" s="116"/>
      <c r="Z60" s="145"/>
      <c r="AA60" s="116"/>
      <c r="AB60" s="145"/>
      <c r="AC60" s="116"/>
      <c r="AD60" s="116"/>
      <c r="AE60" s="116"/>
      <c r="AF60" s="145"/>
      <c r="AG60" s="116"/>
      <c r="AH60" s="132"/>
      <c r="AI60" s="116"/>
      <c r="AJ60" s="116"/>
      <c r="AK60" s="116"/>
      <c r="AL60" s="81"/>
    </row>
    <row r="61" spans="1:38" s="83" customFormat="1" ht="32.25" customHeight="1" x14ac:dyDescent="0.3">
      <c r="A61" s="80">
        <v>54</v>
      </c>
      <c r="B61" s="87" t="s">
        <v>196</v>
      </c>
      <c r="C61" s="87" t="s">
        <v>381</v>
      </c>
      <c r="D61" s="138" t="s">
        <v>382</v>
      </c>
      <c r="E61" s="116">
        <v>122</v>
      </c>
      <c r="F61" s="116">
        <v>1</v>
      </c>
      <c r="G61" s="116"/>
      <c r="H61" s="84" t="s">
        <v>632</v>
      </c>
      <c r="I61" s="166" t="s">
        <v>376</v>
      </c>
      <c r="J61" s="23" t="s">
        <v>308</v>
      </c>
      <c r="K61" s="146"/>
      <c r="L61" s="166"/>
      <c r="M61" s="116"/>
      <c r="N61" s="141"/>
      <c r="O61" s="116"/>
      <c r="P61" s="116"/>
      <c r="Q61" s="116"/>
      <c r="R61" s="116"/>
      <c r="S61" s="142"/>
      <c r="T61" s="143"/>
      <c r="U61" s="142"/>
      <c r="V61" s="142"/>
      <c r="W61" s="144"/>
      <c r="X61" s="145"/>
      <c r="Y61" s="116"/>
      <c r="Z61" s="145"/>
      <c r="AA61" s="116"/>
      <c r="AB61" s="145"/>
      <c r="AC61" s="116"/>
      <c r="AD61" s="116"/>
      <c r="AE61" s="116"/>
      <c r="AF61" s="145"/>
      <c r="AG61" s="116"/>
      <c r="AH61" s="132"/>
      <c r="AI61" s="116"/>
      <c r="AJ61" s="116"/>
      <c r="AK61" s="116"/>
      <c r="AL61" s="81"/>
    </row>
    <row r="62" spans="1:38" s="83" customFormat="1" ht="32.25" customHeight="1" x14ac:dyDescent="0.3">
      <c r="A62" s="114">
        <v>55</v>
      </c>
      <c r="B62" s="87" t="s">
        <v>196</v>
      </c>
      <c r="C62" s="87" t="s">
        <v>381</v>
      </c>
      <c r="D62" s="138" t="s">
        <v>382</v>
      </c>
      <c r="E62" s="116">
        <v>128</v>
      </c>
      <c r="F62" s="116">
        <v>1</v>
      </c>
      <c r="G62" s="116"/>
      <c r="H62" s="84" t="s">
        <v>633</v>
      </c>
      <c r="I62" s="166" t="s">
        <v>376</v>
      </c>
      <c r="J62" s="23" t="s">
        <v>352</v>
      </c>
      <c r="K62" s="146"/>
      <c r="L62" s="166"/>
      <c r="M62" s="116"/>
      <c r="N62" s="141"/>
      <c r="O62" s="148"/>
      <c r="P62" s="116"/>
      <c r="Q62" s="116"/>
      <c r="R62" s="116"/>
      <c r="S62" s="142"/>
      <c r="T62" s="143"/>
      <c r="U62" s="142"/>
      <c r="V62" s="142"/>
      <c r="W62" s="144"/>
      <c r="X62" s="145"/>
      <c r="Y62" s="116"/>
      <c r="Z62" s="145"/>
      <c r="AA62" s="116"/>
      <c r="AB62" s="145"/>
      <c r="AC62" s="116"/>
      <c r="AD62" s="116"/>
      <c r="AE62" s="116"/>
      <c r="AF62" s="145"/>
      <c r="AG62" s="116"/>
      <c r="AH62" s="132"/>
      <c r="AI62" s="116"/>
      <c r="AJ62" s="116"/>
      <c r="AK62" s="116"/>
      <c r="AL62" s="81"/>
    </row>
    <row r="63" spans="1:38" s="83" customFormat="1" ht="32.25" customHeight="1" x14ac:dyDescent="0.3">
      <c r="A63" s="5">
        <v>56</v>
      </c>
      <c r="B63" s="87" t="s">
        <v>196</v>
      </c>
      <c r="C63" s="87" t="s">
        <v>339</v>
      </c>
      <c r="D63" s="138" t="s">
        <v>382</v>
      </c>
      <c r="E63" s="116">
        <v>31</v>
      </c>
      <c r="F63" s="116">
        <v>3</v>
      </c>
      <c r="G63" s="116"/>
      <c r="H63" s="84" t="s">
        <v>634</v>
      </c>
      <c r="I63" s="166" t="s">
        <v>376</v>
      </c>
      <c r="J63" s="23"/>
      <c r="K63" s="140" t="s">
        <v>372</v>
      </c>
      <c r="L63" s="166" t="s">
        <v>367</v>
      </c>
      <c r="M63" s="116">
        <v>1967</v>
      </c>
      <c r="N63" s="141" t="s">
        <v>303</v>
      </c>
      <c r="O63" s="116">
        <v>5</v>
      </c>
      <c r="P63" s="116">
        <v>0</v>
      </c>
      <c r="Q63" s="116">
        <v>6</v>
      </c>
      <c r="R63" s="116">
        <v>118</v>
      </c>
      <c r="S63" s="142">
        <v>5505.37</v>
      </c>
      <c r="T63" s="143">
        <f t="shared" si="0"/>
        <v>5505.37</v>
      </c>
      <c r="U63" s="142">
        <v>3733.05</v>
      </c>
      <c r="V63" s="142">
        <f t="shared" si="1"/>
        <v>1772.3199999999997</v>
      </c>
      <c r="W63" s="144" t="s">
        <v>218</v>
      </c>
      <c r="X63" s="145" t="s">
        <v>218</v>
      </c>
      <c r="Y63" s="116" t="s">
        <v>218</v>
      </c>
      <c r="Z63" s="145" t="s">
        <v>218</v>
      </c>
      <c r="AA63" s="116" t="s">
        <v>218</v>
      </c>
      <c r="AB63" s="145" t="str">
        <f t="shared" si="2"/>
        <v>да</v>
      </c>
      <c r="AC63" s="116" t="s">
        <v>219</v>
      </c>
      <c r="AD63" s="116" t="s">
        <v>218</v>
      </c>
      <c r="AE63" s="116" t="s">
        <v>219</v>
      </c>
      <c r="AF63" s="145">
        <v>0</v>
      </c>
      <c r="AG63" s="116">
        <v>1</v>
      </c>
      <c r="AH63" s="132">
        <v>1</v>
      </c>
      <c r="AI63" s="116">
        <v>1</v>
      </c>
      <c r="AJ63" s="116">
        <f>'[1]ТЭ (прил. 2.1)'!AY66</f>
        <v>3</v>
      </c>
      <c r="AK63" s="116">
        <v>0</v>
      </c>
      <c r="AL63" s="81"/>
    </row>
    <row r="64" spans="1:38" s="83" customFormat="1" ht="32.25" customHeight="1" x14ac:dyDescent="0.3">
      <c r="A64" s="80">
        <v>57</v>
      </c>
      <c r="B64" s="87" t="s">
        <v>196</v>
      </c>
      <c r="C64" s="87" t="s">
        <v>339</v>
      </c>
      <c r="D64" s="138" t="s">
        <v>382</v>
      </c>
      <c r="E64" s="116">
        <v>33</v>
      </c>
      <c r="F64" s="116">
        <v>5</v>
      </c>
      <c r="G64" s="116"/>
      <c r="H64" s="84" t="s">
        <v>635</v>
      </c>
      <c r="I64" s="166" t="s">
        <v>376</v>
      </c>
      <c r="J64" s="23"/>
      <c r="K64" s="146" t="s">
        <v>199</v>
      </c>
      <c r="L64" s="166" t="s">
        <v>378</v>
      </c>
      <c r="M64" s="116">
        <v>1968</v>
      </c>
      <c r="N64" s="141" t="s">
        <v>380</v>
      </c>
      <c r="O64" s="116">
        <v>9</v>
      </c>
      <c r="P64" s="116">
        <v>0</v>
      </c>
      <c r="Q64" s="116">
        <v>6</v>
      </c>
      <c r="R64" s="116">
        <v>220</v>
      </c>
      <c r="S64" s="142">
        <v>11292.79</v>
      </c>
      <c r="T64" s="143">
        <f t="shared" si="0"/>
        <v>11292.79</v>
      </c>
      <c r="U64" s="142">
        <v>7409.9</v>
      </c>
      <c r="V64" s="142">
        <f t="shared" si="1"/>
        <v>3882.8900000000012</v>
      </c>
      <c r="W64" s="144" t="s">
        <v>218</v>
      </c>
      <c r="X64" s="145" t="s">
        <v>218</v>
      </c>
      <c r="Y64" s="116" t="s">
        <v>218</v>
      </c>
      <c r="Z64" s="145" t="s">
        <v>218</v>
      </c>
      <c r="AA64" s="116" t="s">
        <v>218</v>
      </c>
      <c r="AB64" s="145" t="str">
        <f t="shared" si="2"/>
        <v>да</v>
      </c>
      <c r="AC64" s="116" t="s">
        <v>219</v>
      </c>
      <c r="AD64" s="116" t="s">
        <v>218</v>
      </c>
      <c r="AE64" s="116" t="s">
        <v>219</v>
      </c>
      <c r="AF64" s="145">
        <v>6</v>
      </c>
      <c r="AG64" s="116">
        <v>2</v>
      </c>
      <c r="AH64" s="132">
        <v>1</v>
      </c>
      <c r="AI64" s="116">
        <v>1</v>
      </c>
      <c r="AJ64" s="116">
        <f>'[1]ТЭ (прил. 2.1)'!AY67</f>
        <v>5</v>
      </c>
      <c r="AK64" s="116">
        <v>0</v>
      </c>
      <c r="AL64" s="81"/>
    </row>
    <row r="65" spans="1:38" s="83" customFormat="1" ht="32.25" customHeight="1" x14ac:dyDescent="0.3">
      <c r="A65" s="114">
        <v>58</v>
      </c>
      <c r="B65" s="87" t="s">
        <v>196</v>
      </c>
      <c r="C65" s="87" t="s">
        <v>339</v>
      </c>
      <c r="D65" s="138" t="s">
        <v>382</v>
      </c>
      <c r="E65" s="116">
        <v>35</v>
      </c>
      <c r="F65" s="116">
        <v>3</v>
      </c>
      <c r="G65" s="116"/>
      <c r="H65" s="84" t="s">
        <v>636</v>
      </c>
      <c r="I65" s="166" t="s">
        <v>376</v>
      </c>
      <c r="J65" s="23"/>
      <c r="K65" s="140" t="s">
        <v>372</v>
      </c>
      <c r="L65" s="166" t="s">
        <v>315</v>
      </c>
      <c r="M65" s="116">
        <v>1965</v>
      </c>
      <c r="N65" s="141" t="s">
        <v>303</v>
      </c>
      <c r="O65" s="116">
        <v>5</v>
      </c>
      <c r="P65" s="116">
        <v>0</v>
      </c>
      <c r="Q65" s="116">
        <v>6</v>
      </c>
      <c r="R65" s="116">
        <v>93</v>
      </c>
      <c r="S65" s="142">
        <v>4018.72</v>
      </c>
      <c r="T65" s="143">
        <f t="shared" si="0"/>
        <v>4018.72</v>
      </c>
      <c r="U65" s="142">
        <v>2683.59</v>
      </c>
      <c r="V65" s="142">
        <f t="shared" si="1"/>
        <v>1335.1299999999997</v>
      </c>
      <c r="W65" s="144" t="s">
        <v>218</v>
      </c>
      <c r="X65" s="145" t="s">
        <v>218</v>
      </c>
      <c r="Y65" s="116" t="s">
        <v>218</v>
      </c>
      <c r="Z65" s="145" t="s">
        <v>218</v>
      </c>
      <c r="AA65" s="116" t="s">
        <v>218</v>
      </c>
      <c r="AB65" s="145" t="str">
        <f t="shared" si="2"/>
        <v>да</v>
      </c>
      <c r="AC65" s="116" t="s">
        <v>219</v>
      </c>
      <c r="AD65" s="116" t="s">
        <v>218</v>
      </c>
      <c r="AE65" s="116" t="s">
        <v>219</v>
      </c>
      <c r="AF65" s="145">
        <v>0</v>
      </c>
      <c r="AG65" s="116">
        <v>1</v>
      </c>
      <c r="AH65" s="132">
        <v>1</v>
      </c>
      <c r="AI65" s="116">
        <v>1</v>
      </c>
      <c r="AJ65" s="116">
        <f>'[1]ТЭ (прил. 2.1)'!AY68</f>
        <v>3</v>
      </c>
      <c r="AK65" s="116">
        <v>0</v>
      </c>
      <c r="AL65" s="81"/>
    </row>
    <row r="66" spans="1:38" s="83" customFormat="1" ht="32.25" customHeight="1" x14ac:dyDescent="0.3">
      <c r="A66" s="5">
        <v>59</v>
      </c>
      <c r="B66" s="87" t="s">
        <v>196</v>
      </c>
      <c r="C66" s="87" t="s">
        <v>339</v>
      </c>
      <c r="D66" s="138" t="s">
        <v>382</v>
      </c>
      <c r="E66" s="116">
        <v>35</v>
      </c>
      <c r="F66" s="116">
        <v>4</v>
      </c>
      <c r="G66" s="116"/>
      <c r="H66" s="84" t="s">
        <v>637</v>
      </c>
      <c r="I66" s="166" t="s">
        <v>376</v>
      </c>
      <c r="J66" s="23"/>
      <c r="K66" s="140" t="s">
        <v>372</v>
      </c>
      <c r="L66" s="166" t="s">
        <v>315</v>
      </c>
      <c r="M66" s="116">
        <v>1965</v>
      </c>
      <c r="N66" s="141" t="s">
        <v>303</v>
      </c>
      <c r="O66" s="116">
        <v>5</v>
      </c>
      <c r="P66" s="116">
        <v>0</v>
      </c>
      <c r="Q66" s="116">
        <v>6</v>
      </c>
      <c r="R66" s="116">
        <v>93</v>
      </c>
      <c r="S66" s="142">
        <v>4021.34</v>
      </c>
      <c r="T66" s="143">
        <f t="shared" si="0"/>
        <v>4021.34</v>
      </c>
      <c r="U66" s="142">
        <v>2682.7</v>
      </c>
      <c r="V66" s="142">
        <f t="shared" si="1"/>
        <v>1338.6400000000003</v>
      </c>
      <c r="W66" s="144" t="s">
        <v>218</v>
      </c>
      <c r="X66" s="145" t="s">
        <v>218</v>
      </c>
      <c r="Y66" s="116" t="s">
        <v>218</v>
      </c>
      <c r="Z66" s="145" t="s">
        <v>218</v>
      </c>
      <c r="AA66" s="116" t="s">
        <v>218</v>
      </c>
      <c r="AB66" s="145" t="str">
        <f t="shared" si="2"/>
        <v>да</v>
      </c>
      <c r="AC66" s="116" t="s">
        <v>219</v>
      </c>
      <c r="AD66" s="116" t="s">
        <v>218</v>
      </c>
      <c r="AE66" s="116" t="s">
        <v>219</v>
      </c>
      <c r="AF66" s="145">
        <v>0</v>
      </c>
      <c r="AG66" s="116">
        <v>1</v>
      </c>
      <c r="AH66" s="132">
        <v>1</v>
      </c>
      <c r="AI66" s="116">
        <v>1</v>
      </c>
      <c r="AJ66" s="116">
        <f>'[1]ТЭ (прил. 2.1)'!AY69</f>
        <v>3</v>
      </c>
      <c r="AK66" s="116">
        <v>0</v>
      </c>
      <c r="AL66" s="81"/>
    </row>
    <row r="67" spans="1:38" s="83" customFormat="1" ht="32.25" customHeight="1" x14ac:dyDescent="0.3">
      <c r="A67" s="80">
        <v>60</v>
      </c>
      <c r="B67" s="87" t="s">
        <v>196</v>
      </c>
      <c r="C67" s="87" t="s">
        <v>339</v>
      </c>
      <c r="D67" s="138" t="s">
        <v>382</v>
      </c>
      <c r="E67" s="116">
        <v>35</v>
      </c>
      <c r="F67" s="116">
        <v>5</v>
      </c>
      <c r="G67" s="116"/>
      <c r="H67" s="84" t="s">
        <v>638</v>
      </c>
      <c r="I67" s="166" t="s">
        <v>376</v>
      </c>
      <c r="J67" s="23" t="s">
        <v>383</v>
      </c>
      <c r="K67" s="140"/>
      <c r="L67" s="166"/>
      <c r="M67" s="116"/>
      <c r="N67" s="141"/>
      <c r="O67" s="116"/>
      <c r="P67" s="116"/>
      <c r="Q67" s="116"/>
      <c r="R67" s="116"/>
      <c r="S67" s="142"/>
      <c r="T67" s="143"/>
      <c r="U67" s="142"/>
      <c r="V67" s="142"/>
      <c r="W67" s="144"/>
      <c r="X67" s="145"/>
      <c r="Y67" s="116"/>
      <c r="Z67" s="145"/>
      <c r="AA67" s="116"/>
      <c r="AB67" s="145"/>
      <c r="AC67" s="116"/>
      <c r="AD67" s="116"/>
      <c r="AE67" s="116"/>
      <c r="AF67" s="145"/>
      <c r="AG67" s="116"/>
      <c r="AH67" s="132"/>
      <c r="AI67" s="116"/>
      <c r="AJ67" s="116"/>
      <c r="AK67" s="116"/>
      <c r="AL67" s="81"/>
    </row>
    <row r="68" spans="1:38" s="83" customFormat="1" ht="32.25" customHeight="1" x14ac:dyDescent="0.3">
      <c r="A68" s="114">
        <v>61</v>
      </c>
      <c r="B68" s="87" t="s">
        <v>196</v>
      </c>
      <c r="C68" s="87" t="s">
        <v>339</v>
      </c>
      <c r="D68" s="138" t="s">
        <v>382</v>
      </c>
      <c r="E68" s="116">
        <v>35</v>
      </c>
      <c r="F68" s="116">
        <v>6</v>
      </c>
      <c r="G68" s="116"/>
      <c r="H68" s="84" t="s">
        <v>639</v>
      </c>
      <c r="I68" s="166" t="s">
        <v>376</v>
      </c>
      <c r="J68" s="23"/>
      <c r="K68" s="146" t="s">
        <v>303</v>
      </c>
      <c r="L68" s="166" t="s">
        <v>368</v>
      </c>
      <c r="M68" s="116">
        <v>1967</v>
      </c>
      <c r="N68" s="141" t="s">
        <v>377</v>
      </c>
      <c r="O68" s="116">
        <v>9</v>
      </c>
      <c r="P68" s="116">
        <v>0</v>
      </c>
      <c r="Q68" s="116">
        <v>1</v>
      </c>
      <c r="R68" s="116">
        <v>45</v>
      </c>
      <c r="S68" s="142">
        <v>2138.21</v>
      </c>
      <c r="T68" s="143">
        <f t="shared" si="0"/>
        <v>2138.21</v>
      </c>
      <c r="U68" s="142">
        <v>1254.31</v>
      </c>
      <c r="V68" s="142">
        <f t="shared" si="1"/>
        <v>883.90000000000009</v>
      </c>
      <c r="W68" s="144" t="s">
        <v>218</v>
      </c>
      <c r="X68" s="145" t="s">
        <v>218</v>
      </c>
      <c r="Y68" s="116" t="s">
        <v>218</v>
      </c>
      <c r="Z68" s="145" t="s">
        <v>218</v>
      </c>
      <c r="AA68" s="116" t="s">
        <v>218</v>
      </c>
      <c r="AB68" s="145" t="str">
        <f t="shared" si="2"/>
        <v>да</v>
      </c>
      <c r="AC68" s="116" t="s">
        <v>219</v>
      </c>
      <c r="AD68" s="116" t="s">
        <v>218</v>
      </c>
      <c r="AE68" s="116" t="s">
        <v>219</v>
      </c>
      <c r="AF68" s="145">
        <v>1</v>
      </c>
      <c r="AG68" s="116">
        <v>0</v>
      </c>
      <c r="AH68" s="132">
        <v>1</v>
      </c>
      <c r="AI68" s="116">
        <v>1</v>
      </c>
      <c r="AJ68" s="116">
        <f>'[1]ТЭ (прил. 2.1)'!AY71</f>
        <v>1</v>
      </c>
      <c r="AK68" s="116">
        <v>0</v>
      </c>
      <c r="AL68" s="81"/>
    </row>
    <row r="69" spans="1:38" s="83" customFormat="1" ht="32.25" customHeight="1" x14ac:dyDescent="0.3">
      <c r="A69" s="5">
        <v>62</v>
      </c>
      <c r="B69" s="87" t="s">
        <v>196</v>
      </c>
      <c r="C69" s="87" t="s">
        <v>339</v>
      </c>
      <c r="D69" s="138" t="s">
        <v>382</v>
      </c>
      <c r="E69" s="116">
        <v>39</v>
      </c>
      <c r="F69" s="116">
        <v>1</v>
      </c>
      <c r="G69" s="116"/>
      <c r="H69" s="84" t="s">
        <v>640</v>
      </c>
      <c r="I69" s="166" t="s">
        <v>376</v>
      </c>
      <c r="J69" s="23"/>
      <c r="K69" s="146" t="s">
        <v>199</v>
      </c>
      <c r="L69" s="166" t="s">
        <v>378</v>
      </c>
      <c r="M69" s="116">
        <v>1968</v>
      </c>
      <c r="N69" s="147" t="s">
        <v>384</v>
      </c>
      <c r="O69" s="116">
        <v>9</v>
      </c>
      <c r="P69" s="116">
        <v>0</v>
      </c>
      <c r="Q69" s="116">
        <v>8</v>
      </c>
      <c r="R69" s="116">
        <v>283</v>
      </c>
      <c r="S69" s="142">
        <v>11062.55</v>
      </c>
      <c r="T69" s="143">
        <f t="shared" si="0"/>
        <v>11062.55</v>
      </c>
      <c r="U69" s="142">
        <v>6693.93</v>
      </c>
      <c r="V69" s="142">
        <f t="shared" si="1"/>
        <v>4368.619999999999</v>
      </c>
      <c r="W69" s="144" t="s">
        <v>218</v>
      </c>
      <c r="X69" s="145" t="s">
        <v>218</v>
      </c>
      <c r="Y69" s="116" t="s">
        <v>218</v>
      </c>
      <c r="Z69" s="145" t="s">
        <v>218</v>
      </c>
      <c r="AA69" s="116" t="s">
        <v>218</v>
      </c>
      <c r="AB69" s="145" t="str">
        <f t="shared" si="2"/>
        <v>да</v>
      </c>
      <c r="AC69" s="116" t="s">
        <v>219</v>
      </c>
      <c r="AD69" s="116" t="s">
        <v>218</v>
      </c>
      <c r="AE69" s="116" t="s">
        <v>219</v>
      </c>
      <c r="AF69" s="145">
        <v>8</v>
      </c>
      <c r="AG69" s="116">
        <v>2</v>
      </c>
      <c r="AH69" s="132">
        <v>1</v>
      </c>
      <c r="AI69" s="116">
        <v>1</v>
      </c>
      <c r="AJ69" s="116">
        <f>'[1]ТЭ (прил. 2.1)'!AY72</f>
        <v>1</v>
      </c>
      <c r="AK69" s="116">
        <v>0</v>
      </c>
      <c r="AL69" s="81"/>
    </row>
    <row r="70" spans="1:38" s="83" customFormat="1" ht="32.25" customHeight="1" x14ac:dyDescent="0.3">
      <c r="A70" s="80">
        <v>63</v>
      </c>
      <c r="B70" s="87" t="s">
        <v>196</v>
      </c>
      <c r="C70" s="87" t="s">
        <v>339</v>
      </c>
      <c r="D70" s="138" t="s">
        <v>382</v>
      </c>
      <c r="E70" s="116">
        <v>41</v>
      </c>
      <c r="F70" s="116">
        <v>1</v>
      </c>
      <c r="G70" s="116"/>
      <c r="H70" s="84" t="s">
        <v>641</v>
      </c>
      <c r="I70" s="166" t="s">
        <v>376</v>
      </c>
      <c r="J70" s="23"/>
      <c r="K70" s="140" t="s">
        <v>372</v>
      </c>
      <c r="L70" s="166" t="s">
        <v>311</v>
      </c>
      <c r="M70" s="116">
        <v>1965</v>
      </c>
      <c r="N70" s="141" t="s">
        <v>380</v>
      </c>
      <c r="O70" s="116">
        <v>5</v>
      </c>
      <c r="P70" s="116">
        <v>0</v>
      </c>
      <c r="Q70" s="116">
        <v>9</v>
      </c>
      <c r="R70" s="116">
        <v>134</v>
      </c>
      <c r="S70" s="142">
        <v>5991.7</v>
      </c>
      <c r="T70" s="143">
        <f t="shared" si="0"/>
        <v>5991.7</v>
      </c>
      <c r="U70" s="142">
        <v>4013.9</v>
      </c>
      <c r="V70" s="142">
        <f t="shared" si="1"/>
        <v>1977.7999999999997</v>
      </c>
      <c r="W70" s="144" t="s">
        <v>218</v>
      </c>
      <c r="X70" s="145" t="s">
        <v>218</v>
      </c>
      <c r="Y70" s="116" t="s">
        <v>218</v>
      </c>
      <c r="Z70" s="145" t="s">
        <v>218</v>
      </c>
      <c r="AA70" s="116" t="s">
        <v>218</v>
      </c>
      <c r="AB70" s="145" t="str">
        <f t="shared" si="2"/>
        <v>да</v>
      </c>
      <c r="AC70" s="116" t="s">
        <v>219</v>
      </c>
      <c r="AD70" s="116" t="s">
        <v>218</v>
      </c>
      <c r="AE70" s="116" t="s">
        <v>219</v>
      </c>
      <c r="AF70" s="145">
        <v>0</v>
      </c>
      <c r="AG70" s="116">
        <v>1</v>
      </c>
      <c r="AH70" s="132">
        <v>1</v>
      </c>
      <c r="AI70" s="116">
        <v>1</v>
      </c>
      <c r="AJ70" s="116">
        <f>'[1]ТЭ (прил. 2.1)'!AY73</f>
        <v>1</v>
      </c>
      <c r="AK70" s="116">
        <v>0</v>
      </c>
      <c r="AL70" s="81"/>
    </row>
    <row r="71" spans="1:38" s="83" customFormat="1" ht="32.25" customHeight="1" x14ac:dyDescent="0.3">
      <c r="A71" s="114">
        <v>64</v>
      </c>
      <c r="B71" s="87" t="s">
        <v>196</v>
      </c>
      <c r="C71" s="87" t="s">
        <v>385</v>
      </c>
      <c r="D71" s="138" t="s">
        <v>382</v>
      </c>
      <c r="E71" s="116">
        <v>66</v>
      </c>
      <c r="F71" s="116">
        <v>1</v>
      </c>
      <c r="G71" s="116"/>
      <c r="H71" s="84" t="s">
        <v>642</v>
      </c>
      <c r="I71" s="166" t="s">
        <v>376</v>
      </c>
      <c r="J71" s="23"/>
      <c r="K71" s="146" t="s">
        <v>303</v>
      </c>
      <c r="L71" s="166" t="s">
        <v>319</v>
      </c>
      <c r="M71" s="116">
        <v>1984</v>
      </c>
      <c r="N71" s="147" t="s">
        <v>380</v>
      </c>
      <c r="O71" s="116">
        <v>9</v>
      </c>
      <c r="P71" s="116">
        <v>0</v>
      </c>
      <c r="Q71" s="116">
        <v>8</v>
      </c>
      <c r="R71" s="116">
        <v>315</v>
      </c>
      <c r="S71" s="142">
        <v>15895.84</v>
      </c>
      <c r="T71" s="143">
        <f t="shared" si="0"/>
        <v>15895.84</v>
      </c>
      <c r="U71" s="142">
        <v>9943.6</v>
      </c>
      <c r="V71" s="142">
        <f t="shared" si="1"/>
        <v>5952.24</v>
      </c>
      <c r="W71" s="144" t="s">
        <v>218</v>
      </c>
      <c r="X71" s="145" t="s">
        <v>218</v>
      </c>
      <c r="Y71" s="116" t="s">
        <v>218</v>
      </c>
      <c r="Z71" s="145" t="s">
        <v>218</v>
      </c>
      <c r="AA71" s="116" t="s">
        <v>218</v>
      </c>
      <c r="AB71" s="145" t="str">
        <f t="shared" si="2"/>
        <v>да</v>
      </c>
      <c r="AC71" s="116" t="s">
        <v>219</v>
      </c>
      <c r="AD71" s="116" t="s">
        <v>218</v>
      </c>
      <c r="AE71" s="116" t="s">
        <v>219</v>
      </c>
      <c r="AF71" s="145">
        <v>8</v>
      </c>
      <c r="AG71" s="116">
        <v>2</v>
      </c>
      <c r="AH71" s="132">
        <v>1</v>
      </c>
      <c r="AI71" s="116">
        <v>3</v>
      </c>
      <c r="AJ71" s="116">
        <f>'[1]ТЭ (прил. 2.1)'!AY74</f>
        <v>1</v>
      </c>
      <c r="AK71" s="116">
        <v>0</v>
      </c>
      <c r="AL71" s="81"/>
    </row>
    <row r="72" spans="1:38" s="83" customFormat="1" ht="32.25" customHeight="1" x14ac:dyDescent="0.3">
      <c r="A72" s="5">
        <v>65</v>
      </c>
      <c r="B72" s="87" t="s">
        <v>196</v>
      </c>
      <c r="C72" s="87" t="s">
        <v>385</v>
      </c>
      <c r="D72" s="138" t="s">
        <v>382</v>
      </c>
      <c r="E72" s="116">
        <v>66</v>
      </c>
      <c r="F72" s="116">
        <v>2</v>
      </c>
      <c r="G72" s="149"/>
      <c r="H72" s="84" t="s">
        <v>643</v>
      </c>
      <c r="I72" s="166" t="s">
        <v>376</v>
      </c>
      <c r="J72" s="23"/>
      <c r="K72" s="140" t="s">
        <v>372</v>
      </c>
      <c r="L72" s="166" t="s">
        <v>386</v>
      </c>
      <c r="M72" s="116">
        <v>1968</v>
      </c>
      <c r="N72" s="141" t="s">
        <v>303</v>
      </c>
      <c r="O72" s="116">
        <v>5</v>
      </c>
      <c r="P72" s="116">
        <v>0</v>
      </c>
      <c r="Q72" s="116">
        <v>7</v>
      </c>
      <c r="R72" s="116">
        <v>148</v>
      </c>
      <c r="S72" s="142">
        <v>6902.23</v>
      </c>
      <c r="T72" s="143">
        <f t="shared" si="0"/>
        <v>6902.23</v>
      </c>
      <c r="U72" s="142">
        <v>4613.45</v>
      </c>
      <c r="V72" s="142">
        <f t="shared" si="1"/>
        <v>2288.7799999999997</v>
      </c>
      <c r="W72" s="144" t="s">
        <v>218</v>
      </c>
      <c r="X72" s="145" t="s">
        <v>218</v>
      </c>
      <c r="Y72" s="116" t="s">
        <v>218</v>
      </c>
      <c r="Z72" s="145" t="s">
        <v>218</v>
      </c>
      <c r="AA72" s="116" t="s">
        <v>218</v>
      </c>
      <c r="AB72" s="145" t="str">
        <f t="shared" si="2"/>
        <v>да</v>
      </c>
      <c r="AC72" s="116" t="s">
        <v>219</v>
      </c>
      <c r="AD72" s="116" t="s">
        <v>218</v>
      </c>
      <c r="AE72" s="116" t="s">
        <v>219</v>
      </c>
      <c r="AF72" s="145">
        <v>0</v>
      </c>
      <c r="AG72" s="116">
        <v>1</v>
      </c>
      <c r="AH72" s="132">
        <v>1</v>
      </c>
      <c r="AI72" s="116">
        <v>1</v>
      </c>
      <c r="AJ72" s="116">
        <f>'[1]ТЭ (прил. 2.1)'!AY75</f>
        <v>1</v>
      </c>
      <c r="AK72" s="116">
        <v>0</v>
      </c>
      <c r="AL72" s="81"/>
    </row>
    <row r="73" spans="1:38" s="83" customFormat="1" ht="32.25" customHeight="1" x14ac:dyDescent="0.3">
      <c r="A73" s="80">
        <v>66</v>
      </c>
      <c r="B73" s="87" t="s">
        <v>196</v>
      </c>
      <c r="C73" s="87" t="s">
        <v>385</v>
      </c>
      <c r="D73" s="138" t="s">
        <v>382</v>
      </c>
      <c r="E73" s="116">
        <v>66</v>
      </c>
      <c r="F73" s="116">
        <v>3</v>
      </c>
      <c r="G73" s="116"/>
      <c r="H73" s="84" t="s">
        <v>644</v>
      </c>
      <c r="I73" s="166" t="s">
        <v>376</v>
      </c>
      <c r="J73" s="23"/>
      <c r="K73" s="140" t="s">
        <v>372</v>
      </c>
      <c r="L73" s="166" t="s">
        <v>386</v>
      </c>
      <c r="M73" s="116">
        <v>1968</v>
      </c>
      <c r="N73" s="141" t="s">
        <v>303</v>
      </c>
      <c r="O73" s="116">
        <v>5</v>
      </c>
      <c r="P73" s="116">
        <v>0</v>
      </c>
      <c r="Q73" s="116">
        <v>7</v>
      </c>
      <c r="R73" s="116">
        <v>144</v>
      </c>
      <c r="S73" s="142">
        <v>6921.68</v>
      </c>
      <c r="T73" s="143">
        <f t="shared" si="0"/>
        <v>6921.68</v>
      </c>
      <c r="U73" s="142">
        <v>4584.2299999999996</v>
      </c>
      <c r="V73" s="142">
        <f t="shared" si="1"/>
        <v>2337.4500000000007</v>
      </c>
      <c r="W73" s="144" t="s">
        <v>218</v>
      </c>
      <c r="X73" s="145" t="s">
        <v>218</v>
      </c>
      <c r="Y73" s="116" t="s">
        <v>218</v>
      </c>
      <c r="Z73" s="145" t="s">
        <v>218</v>
      </c>
      <c r="AA73" s="116" t="s">
        <v>218</v>
      </c>
      <c r="AB73" s="145" t="str">
        <f t="shared" si="2"/>
        <v>да</v>
      </c>
      <c r="AC73" s="116" t="s">
        <v>219</v>
      </c>
      <c r="AD73" s="116" t="s">
        <v>218</v>
      </c>
      <c r="AE73" s="116" t="s">
        <v>219</v>
      </c>
      <c r="AF73" s="145">
        <v>0</v>
      </c>
      <c r="AG73" s="116">
        <v>1</v>
      </c>
      <c r="AH73" s="132">
        <v>1</v>
      </c>
      <c r="AI73" s="116">
        <v>1</v>
      </c>
      <c r="AJ73" s="116">
        <f>'[1]ТЭ (прил. 2.1)'!AY76</f>
        <v>2</v>
      </c>
      <c r="AK73" s="116">
        <v>0</v>
      </c>
      <c r="AL73" s="81"/>
    </row>
    <row r="74" spans="1:38" s="83" customFormat="1" ht="32.25" customHeight="1" x14ac:dyDescent="0.3">
      <c r="A74" s="114">
        <v>67</v>
      </c>
      <c r="B74" s="87" t="s">
        <v>196</v>
      </c>
      <c r="C74" s="87" t="s">
        <v>370</v>
      </c>
      <c r="D74" s="138" t="s">
        <v>382</v>
      </c>
      <c r="E74" s="116">
        <v>67</v>
      </c>
      <c r="F74" s="116">
        <v>1</v>
      </c>
      <c r="G74" s="116"/>
      <c r="H74" s="84" t="s">
        <v>645</v>
      </c>
      <c r="I74" s="166" t="s">
        <v>376</v>
      </c>
      <c r="J74" s="23"/>
      <c r="K74" s="146" t="s">
        <v>199</v>
      </c>
      <c r="L74" s="166" t="s">
        <v>378</v>
      </c>
      <c r="M74" s="116">
        <v>1973</v>
      </c>
      <c r="N74" s="141" t="s">
        <v>380</v>
      </c>
      <c r="O74" s="116">
        <v>9</v>
      </c>
      <c r="P74" s="116">
        <v>0</v>
      </c>
      <c r="Q74" s="116">
        <v>11</v>
      </c>
      <c r="R74" s="116">
        <v>416</v>
      </c>
      <c r="S74" s="142">
        <v>22681.3</v>
      </c>
      <c r="T74" s="143">
        <f t="shared" si="0"/>
        <v>22681.3</v>
      </c>
      <c r="U74" s="142">
        <v>14218.61</v>
      </c>
      <c r="V74" s="142">
        <f t="shared" si="1"/>
        <v>8462.6899999999987</v>
      </c>
      <c r="W74" s="144" t="s">
        <v>218</v>
      </c>
      <c r="X74" s="145" t="s">
        <v>218</v>
      </c>
      <c r="Y74" s="116" t="s">
        <v>218</v>
      </c>
      <c r="Z74" s="145" t="s">
        <v>218</v>
      </c>
      <c r="AA74" s="116" t="s">
        <v>218</v>
      </c>
      <c r="AB74" s="145" t="str">
        <f t="shared" si="2"/>
        <v>да</v>
      </c>
      <c r="AC74" s="116" t="s">
        <v>219</v>
      </c>
      <c r="AD74" s="116" t="s">
        <v>218</v>
      </c>
      <c r="AE74" s="116" t="s">
        <v>219</v>
      </c>
      <c r="AF74" s="145">
        <v>11</v>
      </c>
      <c r="AG74" s="116">
        <v>2</v>
      </c>
      <c r="AH74" s="132">
        <v>2</v>
      </c>
      <c r="AI74" s="116">
        <v>3</v>
      </c>
      <c r="AJ74" s="116">
        <f>'[1]ТЭ (прил. 2.1)'!AY77</f>
        <v>1</v>
      </c>
      <c r="AK74" s="116">
        <v>0</v>
      </c>
      <c r="AL74" s="81"/>
    </row>
    <row r="75" spans="1:38" s="83" customFormat="1" ht="32.25" customHeight="1" x14ac:dyDescent="0.3">
      <c r="A75" s="5">
        <v>68</v>
      </c>
      <c r="B75" s="87" t="s">
        <v>196</v>
      </c>
      <c r="C75" s="87" t="s">
        <v>370</v>
      </c>
      <c r="D75" s="138" t="s">
        <v>382</v>
      </c>
      <c r="E75" s="116">
        <v>67</v>
      </c>
      <c r="F75" s="116">
        <v>3</v>
      </c>
      <c r="G75" s="116"/>
      <c r="H75" s="84" t="s">
        <v>646</v>
      </c>
      <c r="I75" s="166" t="s">
        <v>376</v>
      </c>
      <c r="J75" s="23"/>
      <c r="K75" s="140" t="s">
        <v>372</v>
      </c>
      <c r="L75" s="166" t="s">
        <v>387</v>
      </c>
      <c r="M75" s="116">
        <v>1972</v>
      </c>
      <c r="N75" s="141" t="s">
        <v>303</v>
      </c>
      <c r="O75" s="116">
        <v>5</v>
      </c>
      <c r="P75" s="116">
        <v>0</v>
      </c>
      <c r="Q75" s="116">
        <v>6</v>
      </c>
      <c r="R75" s="116">
        <v>90</v>
      </c>
      <c r="S75" s="142">
        <v>4317.6000000000004</v>
      </c>
      <c r="T75" s="143">
        <f t="shared" si="0"/>
        <v>4317.6000000000004</v>
      </c>
      <c r="U75" s="142">
        <v>2787.14</v>
      </c>
      <c r="V75" s="142">
        <f t="shared" si="1"/>
        <v>1530.4600000000005</v>
      </c>
      <c r="W75" s="144" t="s">
        <v>218</v>
      </c>
      <c r="X75" s="145" t="s">
        <v>218</v>
      </c>
      <c r="Y75" s="116" t="s">
        <v>218</v>
      </c>
      <c r="Z75" s="145" t="s">
        <v>218</v>
      </c>
      <c r="AA75" s="116" t="s">
        <v>218</v>
      </c>
      <c r="AB75" s="145" t="str">
        <f t="shared" si="2"/>
        <v>да</v>
      </c>
      <c r="AC75" s="116" t="s">
        <v>219</v>
      </c>
      <c r="AD75" s="116" t="s">
        <v>218</v>
      </c>
      <c r="AE75" s="116" t="s">
        <v>219</v>
      </c>
      <c r="AF75" s="145">
        <v>0</v>
      </c>
      <c r="AG75" s="116">
        <v>1</v>
      </c>
      <c r="AH75" s="132">
        <v>1</v>
      </c>
      <c r="AI75" s="116">
        <v>1</v>
      </c>
      <c r="AJ75" s="116">
        <f>'[1]ТЭ (прил. 2.1)'!AY78</f>
        <v>2</v>
      </c>
      <c r="AK75" s="116">
        <v>0</v>
      </c>
      <c r="AL75" s="81"/>
    </row>
    <row r="76" spans="1:38" s="83" customFormat="1" ht="32.25" customHeight="1" x14ac:dyDescent="0.3">
      <c r="A76" s="80">
        <v>69</v>
      </c>
      <c r="B76" s="87" t="s">
        <v>196</v>
      </c>
      <c r="C76" s="87" t="s">
        <v>370</v>
      </c>
      <c r="D76" s="138" t="s">
        <v>382</v>
      </c>
      <c r="E76" s="116">
        <v>67</v>
      </c>
      <c r="F76" s="116">
        <v>4</v>
      </c>
      <c r="G76" s="116"/>
      <c r="H76" s="84" t="s">
        <v>647</v>
      </c>
      <c r="I76" s="166" t="s">
        <v>376</v>
      </c>
      <c r="J76" s="23"/>
      <c r="K76" s="140" t="s">
        <v>372</v>
      </c>
      <c r="L76" s="166" t="s">
        <v>387</v>
      </c>
      <c r="M76" s="116">
        <v>1972</v>
      </c>
      <c r="N76" s="141" t="s">
        <v>303</v>
      </c>
      <c r="O76" s="116">
        <v>5</v>
      </c>
      <c r="P76" s="116">
        <v>0</v>
      </c>
      <c r="Q76" s="116">
        <v>6</v>
      </c>
      <c r="R76" s="116">
        <v>92</v>
      </c>
      <c r="S76" s="142">
        <v>4368.8999999999996</v>
      </c>
      <c r="T76" s="143">
        <f t="shared" si="0"/>
        <v>4368.8999999999996</v>
      </c>
      <c r="U76" s="142">
        <v>2831.92</v>
      </c>
      <c r="V76" s="142">
        <f t="shared" si="1"/>
        <v>1536.9799999999996</v>
      </c>
      <c r="W76" s="144" t="s">
        <v>218</v>
      </c>
      <c r="X76" s="145" t="s">
        <v>218</v>
      </c>
      <c r="Y76" s="116" t="s">
        <v>218</v>
      </c>
      <c r="Z76" s="145" t="s">
        <v>218</v>
      </c>
      <c r="AA76" s="116" t="s">
        <v>218</v>
      </c>
      <c r="AB76" s="145" t="str">
        <f t="shared" si="2"/>
        <v>да</v>
      </c>
      <c r="AC76" s="116" t="s">
        <v>219</v>
      </c>
      <c r="AD76" s="116" t="s">
        <v>218</v>
      </c>
      <c r="AE76" s="116" t="s">
        <v>219</v>
      </c>
      <c r="AF76" s="145">
        <v>0</v>
      </c>
      <c r="AG76" s="116">
        <v>1</v>
      </c>
      <c r="AH76" s="132">
        <v>1</v>
      </c>
      <c r="AI76" s="116">
        <v>1</v>
      </c>
      <c r="AJ76" s="116">
        <f>'[1]ТЭ (прил. 2.1)'!AY79</f>
        <v>2</v>
      </c>
      <c r="AK76" s="116">
        <v>0</v>
      </c>
      <c r="AL76" s="81"/>
    </row>
    <row r="77" spans="1:38" s="83" customFormat="1" ht="32.25" customHeight="1" x14ac:dyDescent="0.3">
      <c r="A77" s="114">
        <v>70</v>
      </c>
      <c r="B77" s="87" t="s">
        <v>196</v>
      </c>
      <c r="C77" s="87" t="s">
        <v>385</v>
      </c>
      <c r="D77" s="138" t="s">
        <v>382</v>
      </c>
      <c r="E77" s="116">
        <v>68</v>
      </c>
      <c r="F77" s="116">
        <v>2</v>
      </c>
      <c r="G77" s="116"/>
      <c r="H77" s="84" t="s">
        <v>648</v>
      </c>
      <c r="I77" s="166" t="s">
        <v>376</v>
      </c>
      <c r="J77" s="23" t="s">
        <v>308</v>
      </c>
      <c r="K77" s="140"/>
      <c r="L77" s="166"/>
      <c r="M77" s="116"/>
      <c r="N77" s="141"/>
      <c r="O77" s="116"/>
      <c r="P77" s="116"/>
      <c r="Q77" s="116"/>
      <c r="R77" s="116"/>
      <c r="S77" s="142"/>
      <c r="T77" s="143"/>
      <c r="U77" s="142"/>
      <c r="V77" s="142"/>
      <c r="W77" s="144"/>
      <c r="X77" s="145"/>
      <c r="Y77" s="116"/>
      <c r="Z77" s="145"/>
      <c r="AA77" s="116"/>
      <c r="AB77" s="145"/>
      <c r="AC77" s="116"/>
      <c r="AD77" s="116"/>
      <c r="AE77" s="116"/>
      <c r="AF77" s="145"/>
      <c r="AG77" s="116"/>
      <c r="AH77" s="132"/>
      <c r="AI77" s="116"/>
      <c r="AJ77" s="116"/>
      <c r="AK77" s="116"/>
      <c r="AL77" s="81"/>
    </row>
    <row r="78" spans="1:38" s="83" customFormat="1" ht="32.25" customHeight="1" x14ac:dyDescent="0.3">
      <c r="A78" s="5">
        <v>71</v>
      </c>
      <c r="B78" s="87" t="s">
        <v>196</v>
      </c>
      <c r="C78" s="87" t="s">
        <v>385</v>
      </c>
      <c r="D78" s="138" t="s">
        <v>382</v>
      </c>
      <c r="E78" s="116">
        <v>72</v>
      </c>
      <c r="F78" s="116">
        <v>2</v>
      </c>
      <c r="G78" s="116"/>
      <c r="H78" s="84" t="s">
        <v>649</v>
      </c>
      <c r="I78" s="166" t="s">
        <v>376</v>
      </c>
      <c r="J78" s="23"/>
      <c r="K78" s="140" t="s">
        <v>372</v>
      </c>
      <c r="L78" s="166" t="s">
        <v>367</v>
      </c>
      <c r="M78" s="116">
        <v>1968</v>
      </c>
      <c r="N78" s="141" t="s">
        <v>303</v>
      </c>
      <c r="O78" s="116">
        <v>5</v>
      </c>
      <c r="P78" s="116">
        <v>0</v>
      </c>
      <c r="Q78" s="116">
        <v>8</v>
      </c>
      <c r="R78" s="116">
        <v>159</v>
      </c>
      <c r="S78" s="142">
        <v>7086.55</v>
      </c>
      <c r="T78" s="143">
        <f t="shared" si="0"/>
        <v>7086.55</v>
      </c>
      <c r="U78" s="142">
        <v>4723.74</v>
      </c>
      <c r="V78" s="142">
        <f t="shared" si="1"/>
        <v>2362.8100000000004</v>
      </c>
      <c r="W78" s="144" t="s">
        <v>218</v>
      </c>
      <c r="X78" s="145" t="s">
        <v>218</v>
      </c>
      <c r="Y78" s="116" t="s">
        <v>218</v>
      </c>
      <c r="Z78" s="145" t="s">
        <v>218</v>
      </c>
      <c r="AA78" s="116" t="s">
        <v>218</v>
      </c>
      <c r="AB78" s="145" t="str">
        <f t="shared" si="2"/>
        <v>да</v>
      </c>
      <c r="AC78" s="116" t="s">
        <v>219</v>
      </c>
      <c r="AD78" s="116" t="s">
        <v>218</v>
      </c>
      <c r="AE78" s="116" t="s">
        <v>219</v>
      </c>
      <c r="AF78" s="145">
        <v>0</v>
      </c>
      <c r="AG78" s="116">
        <v>2</v>
      </c>
      <c r="AH78" s="132">
        <v>1</v>
      </c>
      <c r="AI78" s="116">
        <v>2</v>
      </c>
      <c r="AJ78" s="116">
        <f>'[1]ТЭ (прил. 2.1)'!AY81</f>
        <v>2</v>
      </c>
      <c r="AK78" s="116">
        <v>0</v>
      </c>
      <c r="AL78" s="81"/>
    </row>
    <row r="79" spans="1:38" s="83" customFormat="1" ht="32.25" customHeight="1" x14ac:dyDescent="0.3">
      <c r="A79" s="80">
        <v>72</v>
      </c>
      <c r="B79" s="87" t="s">
        <v>196</v>
      </c>
      <c r="C79" s="87" t="s">
        <v>388</v>
      </c>
      <c r="D79" s="138" t="s">
        <v>382</v>
      </c>
      <c r="E79" s="116">
        <v>78</v>
      </c>
      <c r="F79" s="116" t="s">
        <v>245</v>
      </c>
      <c r="G79" s="116"/>
      <c r="H79" s="84" t="s">
        <v>650</v>
      </c>
      <c r="I79" s="166" t="s">
        <v>247</v>
      </c>
      <c r="J79" s="23"/>
      <c r="K79" s="146" t="s">
        <v>199</v>
      </c>
      <c r="L79" s="166" t="s">
        <v>389</v>
      </c>
      <c r="M79" s="116">
        <v>1969</v>
      </c>
      <c r="N79" s="141" t="s">
        <v>303</v>
      </c>
      <c r="O79" s="116">
        <v>9</v>
      </c>
      <c r="P79" s="116">
        <v>0</v>
      </c>
      <c r="Q79" s="116">
        <v>7</v>
      </c>
      <c r="R79" s="116">
        <v>250</v>
      </c>
      <c r="S79" s="142">
        <v>12726.55</v>
      </c>
      <c r="T79" s="143">
        <f t="shared" si="0"/>
        <v>12726.55</v>
      </c>
      <c r="U79" s="142">
        <v>8502.16</v>
      </c>
      <c r="V79" s="142">
        <f t="shared" si="1"/>
        <v>4224.3899999999994</v>
      </c>
      <c r="W79" s="144" t="s">
        <v>218</v>
      </c>
      <c r="X79" s="145" t="s">
        <v>218</v>
      </c>
      <c r="Y79" s="116" t="s">
        <v>218</v>
      </c>
      <c r="Z79" s="145" t="s">
        <v>218</v>
      </c>
      <c r="AA79" s="116" t="s">
        <v>218</v>
      </c>
      <c r="AB79" s="145" t="str">
        <f t="shared" si="2"/>
        <v>да</v>
      </c>
      <c r="AC79" s="116" t="s">
        <v>219</v>
      </c>
      <c r="AD79" s="116" t="s">
        <v>218</v>
      </c>
      <c r="AE79" s="116" t="s">
        <v>219</v>
      </c>
      <c r="AF79" s="145">
        <v>7</v>
      </c>
      <c r="AG79" s="116">
        <v>2</v>
      </c>
      <c r="AH79" s="132">
        <v>1</v>
      </c>
      <c r="AI79" s="116">
        <v>1</v>
      </c>
      <c r="AJ79" s="116">
        <f>'[1]ТЭ (прил. 2.1)'!AY82</f>
        <v>2</v>
      </c>
      <c r="AK79" s="116">
        <v>0</v>
      </c>
      <c r="AL79" s="81"/>
    </row>
    <row r="80" spans="1:38" s="83" customFormat="1" ht="32.25" customHeight="1" x14ac:dyDescent="0.3">
      <c r="A80" s="114">
        <v>73</v>
      </c>
      <c r="B80" s="87" t="s">
        <v>196</v>
      </c>
      <c r="C80" s="87" t="s">
        <v>388</v>
      </c>
      <c r="D80" s="138" t="s">
        <v>382</v>
      </c>
      <c r="E80" s="116">
        <v>84</v>
      </c>
      <c r="F80" s="116" t="s">
        <v>245</v>
      </c>
      <c r="G80" s="116"/>
      <c r="H80" s="84" t="s">
        <v>651</v>
      </c>
      <c r="I80" s="166" t="s">
        <v>376</v>
      </c>
      <c r="J80" s="23" t="s">
        <v>308</v>
      </c>
      <c r="K80" s="140"/>
      <c r="L80" s="166"/>
      <c r="M80" s="116"/>
      <c r="N80" s="141"/>
      <c r="O80" s="116"/>
      <c r="P80" s="116"/>
      <c r="Q80" s="116"/>
      <c r="R80" s="116"/>
      <c r="S80" s="142"/>
      <c r="T80" s="143"/>
      <c r="U80" s="142"/>
      <c r="V80" s="142"/>
      <c r="W80" s="144"/>
      <c r="X80" s="145"/>
      <c r="Y80" s="116"/>
      <c r="Z80" s="145"/>
      <c r="AA80" s="116"/>
      <c r="AB80" s="145"/>
      <c r="AC80" s="116"/>
      <c r="AD80" s="116"/>
      <c r="AE80" s="116"/>
      <c r="AF80" s="145"/>
      <c r="AG80" s="116"/>
      <c r="AH80" s="132"/>
      <c r="AI80" s="116"/>
      <c r="AJ80" s="116"/>
      <c r="AK80" s="116"/>
      <c r="AL80" s="81"/>
    </row>
    <row r="81" spans="1:38" s="83" customFormat="1" ht="32.25" customHeight="1" x14ac:dyDescent="0.3">
      <c r="A81" s="5">
        <v>74</v>
      </c>
      <c r="B81" s="87" t="s">
        <v>196</v>
      </c>
      <c r="C81" s="87" t="s">
        <v>388</v>
      </c>
      <c r="D81" s="138" t="s">
        <v>382</v>
      </c>
      <c r="E81" s="116">
        <v>86</v>
      </c>
      <c r="F81" s="116">
        <v>1</v>
      </c>
      <c r="G81" s="116"/>
      <c r="H81" s="84" t="s">
        <v>652</v>
      </c>
      <c r="I81" s="166" t="s">
        <v>247</v>
      </c>
      <c r="J81" s="23"/>
      <c r="K81" s="146" t="s">
        <v>199</v>
      </c>
      <c r="L81" s="166" t="s">
        <v>378</v>
      </c>
      <c r="M81" s="116">
        <v>1967</v>
      </c>
      <c r="N81" s="141" t="s">
        <v>303</v>
      </c>
      <c r="O81" s="116">
        <v>9</v>
      </c>
      <c r="P81" s="116">
        <v>0</v>
      </c>
      <c r="Q81" s="116">
        <v>6</v>
      </c>
      <c r="R81" s="116">
        <v>217</v>
      </c>
      <c r="S81" s="142">
        <v>11257.9</v>
      </c>
      <c r="T81" s="143">
        <f t="shared" si="0"/>
        <v>11257.9</v>
      </c>
      <c r="U81" s="142">
        <v>7352.6</v>
      </c>
      <c r="V81" s="142">
        <f t="shared" si="1"/>
        <v>3905.2999999999993</v>
      </c>
      <c r="W81" s="144" t="s">
        <v>218</v>
      </c>
      <c r="X81" s="145" t="s">
        <v>218</v>
      </c>
      <c r="Y81" s="116" t="s">
        <v>218</v>
      </c>
      <c r="Z81" s="145" t="s">
        <v>218</v>
      </c>
      <c r="AA81" s="116" t="s">
        <v>218</v>
      </c>
      <c r="AB81" s="145" t="str">
        <f t="shared" si="2"/>
        <v>да</v>
      </c>
      <c r="AC81" s="116" t="s">
        <v>219</v>
      </c>
      <c r="AD81" s="116" t="s">
        <v>218</v>
      </c>
      <c r="AE81" s="116" t="s">
        <v>219</v>
      </c>
      <c r="AF81" s="145">
        <v>6</v>
      </c>
      <c r="AG81" s="116">
        <v>2</v>
      </c>
      <c r="AH81" s="132">
        <v>3</v>
      </c>
      <c r="AI81" s="116">
        <v>1</v>
      </c>
      <c r="AJ81" s="116">
        <f>'[1]ТЭ (прил. 2.1)'!AY84</f>
        <v>3</v>
      </c>
      <c r="AK81" s="116">
        <v>0</v>
      </c>
      <c r="AL81" s="81"/>
    </row>
    <row r="82" spans="1:38" s="83" customFormat="1" ht="32.25" customHeight="1" x14ac:dyDescent="0.3">
      <c r="A82" s="80">
        <v>75</v>
      </c>
      <c r="B82" s="87" t="s">
        <v>196</v>
      </c>
      <c r="C82" s="87" t="s">
        <v>388</v>
      </c>
      <c r="D82" s="138" t="s">
        <v>390</v>
      </c>
      <c r="E82" s="116">
        <v>86</v>
      </c>
      <c r="F82" s="116">
        <v>2</v>
      </c>
      <c r="G82" s="116"/>
      <c r="H82" s="84" t="s">
        <v>653</v>
      </c>
      <c r="I82" s="166" t="s">
        <v>376</v>
      </c>
      <c r="J82" s="23" t="s">
        <v>308</v>
      </c>
      <c r="K82" s="146"/>
      <c r="L82" s="166"/>
      <c r="M82" s="116"/>
      <c r="N82" s="141"/>
      <c r="O82" s="116"/>
      <c r="P82" s="116"/>
      <c r="Q82" s="116"/>
      <c r="R82" s="116"/>
      <c r="S82" s="142"/>
      <c r="T82" s="143"/>
      <c r="U82" s="142"/>
      <c r="V82" s="142"/>
      <c r="W82" s="144"/>
      <c r="X82" s="145"/>
      <c r="Y82" s="116"/>
      <c r="Z82" s="145"/>
      <c r="AA82" s="116"/>
      <c r="AB82" s="145"/>
      <c r="AC82" s="116"/>
      <c r="AD82" s="116"/>
      <c r="AE82" s="116"/>
      <c r="AF82" s="145"/>
      <c r="AG82" s="116"/>
      <c r="AH82" s="132"/>
      <c r="AI82" s="116"/>
      <c r="AJ82" s="116"/>
      <c r="AK82" s="116"/>
      <c r="AL82" s="81"/>
    </row>
    <row r="83" spans="1:38" s="83" customFormat="1" ht="32.25" customHeight="1" x14ac:dyDescent="0.3">
      <c r="A83" s="114">
        <v>76</v>
      </c>
      <c r="B83" s="87" t="s">
        <v>196</v>
      </c>
      <c r="C83" s="87" t="s">
        <v>388</v>
      </c>
      <c r="D83" s="138" t="s">
        <v>390</v>
      </c>
      <c r="E83" s="116">
        <v>86</v>
      </c>
      <c r="F83" s="116">
        <v>3</v>
      </c>
      <c r="G83" s="116"/>
      <c r="H83" s="84" t="s">
        <v>654</v>
      </c>
      <c r="I83" s="166" t="s">
        <v>376</v>
      </c>
      <c r="J83" s="23" t="s">
        <v>308</v>
      </c>
      <c r="K83" s="140"/>
      <c r="L83" s="166"/>
      <c r="M83" s="116"/>
      <c r="N83" s="141"/>
      <c r="O83" s="116"/>
      <c r="P83" s="116"/>
      <c r="Q83" s="116"/>
      <c r="R83" s="116"/>
      <c r="S83" s="142"/>
      <c r="T83" s="143"/>
      <c r="U83" s="142"/>
      <c r="V83" s="142"/>
      <c r="W83" s="144"/>
      <c r="X83" s="145"/>
      <c r="Y83" s="116"/>
      <c r="Z83" s="145"/>
      <c r="AA83" s="116"/>
      <c r="AB83" s="145"/>
      <c r="AC83" s="116"/>
      <c r="AD83" s="116"/>
      <c r="AE83" s="116"/>
      <c r="AF83" s="145"/>
      <c r="AG83" s="116"/>
      <c r="AH83" s="132"/>
      <c r="AI83" s="116"/>
      <c r="AJ83" s="116"/>
      <c r="AK83" s="116"/>
      <c r="AL83" s="81"/>
    </row>
    <row r="84" spans="1:38" s="83" customFormat="1" ht="32.25" customHeight="1" x14ac:dyDescent="0.3">
      <c r="A84" s="5">
        <v>77</v>
      </c>
      <c r="B84" s="87" t="s">
        <v>196</v>
      </c>
      <c r="C84" s="87" t="s">
        <v>388</v>
      </c>
      <c r="D84" s="138" t="s">
        <v>390</v>
      </c>
      <c r="E84" s="116">
        <v>88</v>
      </c>
      <c r="F84" s="116" t="s">
        <v>245</v>
      </c>
      <c r="G84" s="116"/>
      <c r="H84" s="84" t="s">
        <v>655</v>
      </c>
      <c r="I84" s="166" t="s">
        <v>376</v>
      </c>
      <c r="J84" s="23" t="s">
        <v>308</v>
      </c>
      <c r="K84" s="140"/>
      <c r="L84" s="166"/>
      <c r="M84" s="116"/>
      <c r="N84" s="141"/>
      <c r="O84" s="116"/>
      <c r="P84" s="116"/>
      <c r="Q84" s="116"/>
      <c r="R84" s="116"/>
      <c r="S84" s="142"/>
      <c r="T84" s="143"/>
      <c r="U84" s="142"/>
      <c r="V84" s="142"/>
      <c r="W84" s="144"/>
      <c r="X84" s="145"/>
      <c r="Y84" s="116"/>
      <c r="Z84" s="145"/>
      <c r="AA84" s="116"/>
      <c r="AB84" s="145"/>
      <c r="AC84" s="116"/>
      <c r="AD84" s="116"/>
      <c r="AE84" s="116"/>
      <c r="AF84" s="145"/>
      <c r="AG84" s="116"/>
      <c r="AH84" s="132"/>
      <c r="AI84" s="116"/>
      <c r="AJ84" s="116"/>
      <c r="AK84" s="116"/>
      <c r="AL84" s="81"/>
    </row>
    <row r="85" spans="1:38" s="83" customFormat="1" ht="32.25" customHeight="1" x14ac:dyDescent="0.3">
      <c r="A85" s="80">
        <v>78</v>
      </c>
      <c r="B85" s="87" t="s">
        <v>196</v>
      </c>
      <c r="C85" s="87" t="s">
        <v>388</v>
      </c>
      <c r="D85" s="138" t="s">
        <v>390</v>
      </c>
      <c r="E85" s="116">
        <v>92</v>
      </c>
      <c r="F85" s="116" t="s">
        <v>245</v>
      </c>
      <c r="G85" s="116"/>
      <c r="H85" s="84" t="s">
        <v>656</v>
      </c>
      <c r="I85" s="166" t="s">
        <v>376</v>
      </c>
      <c r="J85" s="23" t="s">
        <v>308</v>
      </c>
      <c r="K85" s="140"/>
      <c r="L85" s="166"/>
      <c r="M85" s="116"/>
      <c r="N85" s="141"/>
      <c r="O85" s="116"/>
      <c r="P85" s="116"/>
      <c r="Q85" s="116"/>
      <c r="R85" s="116"/>
      <c r="S85" s="142"/>
      <c r="T85" s="143"/>
      <c r="U85" s="142"/>
      <c r="V85" s="142"/>
      <c r="W85" s="144"/>
      <c r="X85" s="145"/>
      <c r="Y85" s="116"/>
      <c r="Z85" s="145"/>
      <c r="AA85" s="116"/>
      <c r="AB85" s="145"/>
      <c r="AC85" s="116"/>
      <c r="AD85" s="116"/>
      <c r="AE85" s="116"/>
      <c r="AF85" s="145"/>
      <c r="AG85" s="116"/>
      <c r="AH85" s="132"/>
      <c r="AI85" s="116"/>
      <c r="AJ85" s="116"/>
      <c r="AK85" s="116"/>
      <c r="AL85" s="81"/>
    </row>
    <row r="86" spans="1:38" s="83" customFormat="1" ht="32.25" customHeight="1" x14ac:dyDescent="0.3">
      <c r="A86" s="114">
        <v>79</v>
      </c>
      <c r="B86" s="87" t="s">
        <v>196</v>
      </c>
      <c r="C86" s="87" t="s">
        <v>388</v>
      </c>
      <c r="D86" s="138" t="s">
        <v>390</v>
      </c>
      <c r="E86" s="116">
        <v>94</v>
      </c>
      <c r="F86" s="116">
        <v>1</v>
      </c>
      <c r="G86" s="116"/>
      <c r="H86" s="84" t="s">
        <v>657</v>
      </c>
      <c r="I86" s="166" t="s">
        <v>376</v>
      </c>
      <c r="J86" s="23"/>
      <c r="K86" s="146" t="s">
        <v>199</v>
      </c>
      <c r="L86" s="166" t="s">
        <v>378</v>
      </c>
      <c r="M86" s="116">
        <v>1966</v>
      </c>
      <c r="N86" s="141" t="s">
        <v>380</v>
      </c>
      <c r="O86" s="116">
        <v>9</v>
      </c>
      <c r="P86" s="116">
        <v>0</v>
      </c>
      <c r="Q86" s="116">
        <v>9</v>
      </c>
      <c r="R86" s="116">
        <v>327</v>
      </c>
      <c r="S86" s="142">
        <v>17383.88</v>
      </c>
      <c r="T86" s="143">
        <f t="shared" si="0"/>
        <v>17383.88</v>
      </c>
      <c r="U86" s="142">
        <v>11285.3</v>
      </c>
      <c r="V86" s="142">
        <f t="shared" si="1"/>
        <v>6098.5800000000017</v>
      </c>
      <c r="W86" s="144" t="s">
        <v>218</v>
      </c>
      <c r="X86" s="145" t="s">
        <v>218</v>
      </c>
      <c r="Y86" s="116" t="s">
        <v>218</v>
      </c>
      <c r="Z86" s="145" t="s">
        <v>218</v>
      </c>
      <c r="AA86" s="116" t="s">
        <v>218</v>
      </c>
      <c r="AB86" s="145" t="str">
        <f t="shared" si="2"/>
        <v>да</v>
      </c>
      <c r="AC86" s="116" t="s">
        <v>219</v>
      </c>
      <c r="AD86" s="116" t="s">
        <v>218</v>
      </c>
      <c r="AE86" s="116" t="s">
        <v>219</v>
      </c>
      <c r="AF86" s="145">
        <v>9</v>
      </c>
      <c r="AG86" s="116">
        <v>2</v>
      </c>
      <c r="AH86" s="132">
        <v>1</v>
      </c>
      <c r="AI86" s="116">
        <v>1</v>
      </c>
      <c r="AJ86" s="116">
        <f>'[1]ТЭ (прил. 2.1)'!AY89</f>
        <v>1</v>
      </c>
      <c r="AK86" s="116">
        <v>0</v>
      </c>
      <c r="AL86" s="81"/>
    </row>
    <row r="87" spans="1:38" s="83" customFormat="1" ht="32.25" customHeight="1" x14ac:dyDescent="0.3">
      <c r="A87" s="5">
        <v>80</v>
      </c>
      <c r="B87" s="87" t="s">
        <v>196</v>
      </c>
      <c r="C87" s="87" t="s">
        <v>388</v>
      </c>
      <c r="D87" s="138" t="s">
        <v>390</v>
      </c>
      <c r="E87" s="116">
        <v>94</v>
      </c>
      <c r="F87" s="116">
        <v>3</v>
      </c>
      <c r="G87" s="116"/>
      <c r="H87" s="84" t="s">
        <v>658</v>
      </c>
      <c r="I87" s="166" t="s">
        <v>376</v>
      </c>
      <c r="J87" s="23" t="s">
        <v>391</v>
      </c>
      <c r="K87" s="146"/>
      <c r="L87" s="166"/>
      <c r="M87" s="116"/>
      <c r="N87" s="141"/>
      <c r="O87" s="116"/>
      <c r="P87" s="116"/>
      <c r="Q87" s="116"/>
      <c r="R87" s="116"/>
      <c r="S87" s="142"/>
      <c r="T87" s="143"/>
      <c r="U87" s="142"/>
      <c r="V87" s="142"/>
      <c r="W87" s="144"/>
      <c r="X87" s="145"/>
      <c r="Y87" s="116"/>
      <c r="Z87" s="145"/>
      <c r="AA87" s="116"/>
      <c r="AB87" s="145"/>
      <c r="AC87" s="116"/>
      <c r="AD87" s="116"/>
      <c r="AE87" s="116"/>
      <c r="AF87" s="145"/>
      <c r="AG87" s="116"/>
      <c r="AH87" s="132"/>
      <c r="AI87" s="116"/>
      <c r="AJ87" s="116"/>
      <c r="AK87" s="116"/>
      <c r="AL87" s="81"/>
    </row>
    <row r="88" spans="1:38" s="83" customFormat="1" ht="32.25" customHeight="1" x14ac:dyDescent="0.3">
      <c r="A88" s="80">
        <v>81</v>
      </c>
      <c r="B88" s="87" t="s">
        <v>196</v>
      </c>
      <c r="C88" s="87" t="s">
        <v>388</v>
      </c>
      <c r="D88" s="138" t="s">
        <v>390</v>
      </c>
      <c r="E88" s="116">
        <v>94</v>
      </c>
      <c r="F88" s="116">
        <v>4</v>
      </c>
      <c r="G88" s="116"/>
      <c r="H88" s="84" t="s">
        <v>659</v>
      </c>
      <c r="I88" s="166" t="s">
        <v>247</v>
      </c>
      <c r="J88" s="23"/>
      <c r="K88" s="146" t="s">
        <v>199</v>
      </c>
      <c r="L88" s="166" t="s">
        <v>369</v>
      </c>
      <c r="M88" s="116">
        <v>1967</v>
      </c>
      <c r="N88" s="141" t="s">
        <v>377</v>
      </c>
      <c r="O88" s="116">
        <v>9</v>
      </c>
      <c r="P88" s="116">
        <v>0</v>
      </c>
      <c r="Q88" s="116">
        <v>4</v>
      </c>
      <c r="R88" s="116">
        <v>233</v>
      </c>
      <c r="S88" s="142">
        <v>11298.1</v>
      </c>
      <c r="T88" s="143">
        <f t="shared" si="0"/>
        <v>11298.1</v>
      </c>
      <c r="U88" s="142">
        <v>7245.9</v>
      </c>
      <c r="V88" s="142">
        <f t="shared" si="1"/>
        <v>4052.2000000000007</v>
      </c>
      <c r="W88" s="144" t="s">
        <v>218</v>
      </c>
      <c r="X88" s="145" t="s">
        <v>218</v>
      </c>
      <c r="Y88" s="116" t="s">
        <v>218</v>
      </c>
      <c r="Z88" s="145" t="s">
        <v>218</v>
      </c>
      <c r="AA88" s="116" t="s">
        <v>218</v>
      </c>
      <c r="AB88" s="145" t="str">
        <f t="shared" si="2"/>
        <v>да</v>
      </c>
      <c r="AC88" s="116" t="s">
        <v>219</v>
      </c>
      <c r="AD88" s="116" t="s">
        <v>218</v>
      </c>
      <c r="AE88" s="116" t="s">
        <v>219</v>
      </c>
      <c r="AF88" s="145">
        <v>4</v>
      </c>
      <c r="AG88" s="116">
        <v>2</v>
      </c>
      <c r="AH88" s="132">
        <v>1</v>
      </c>
      <c r="AI88" s="116">
        <v>2</v>
      </c>
      <c r="AJ88" s="116">
        <f>'[1]ТЭ (прил. 2.1)'!AY91</f>
        <v>1</v>
      </c>
      <c r="AK88" s="116">
        <v>0</v>
      </c>
      <c r="AL88" s="81"/>
    </row>
    <row r="89" spans="1:38" s="83" customFormat="1" ht="32.25" customHeight="1" x14ac:dyDescent="0.3">
      <c r="A89" s="114">
        <v>82</v>
      </c>
      <c r="B89" s="87" t="s">
        <v>196</v>
      </c>
      <c r="C89" s="87" t="s">
        <v>370</v>
      </c>
      <c r="D89" s="138" t="s">
        <v>392</v>
      </c>
      <c r="E89" s="116">
        <v>48</v>
      </c>
      <c r="F89" s="116">
        <v>1</v>
      </c>
      <c r="G89" s="116"/>
      <c r="H89" s="84" t="s">
        <v>660</v>
      </c>
      <c r="I89" s="166" t="s">
        <v>376</v>
      </c>
      <c r="J89" s="23"/>
      <c r="K89" s="146" t="s">
        <v>199</v>
      </c>
      <c r="L89" s="166" t="s">
        <v>378</v>
      </c>
      <c r="M89" s="116">
        <v>1977</v>
      </c>
      <c r="N89" s="141" t="s">
        <v>384</v>
      </c>
      <c r="O89" s="116">
        <v>9</v>
      </c>
      <c r="P89" s="116">
        <v>0</v>
      </c>
      <c r="Q89" s="116">
        <v>18</v>
      </c>
      <c r="R89" s="116">
        <v>691</v>
      </c>
      <c r="S89" s="142">
        <v>38538.11</v>
      </c>
      <c r="T89" s="143">
        <f t="shared" si="0"/>
        <v>38538.11</v>
      </c>
      <c r="U89" s="142">
        <v>23958.71</v>
      </c>
      <c r="V89" s="142">
        <f t="shared" si="1"/>
        <v>14579.400000000001</v>
      </c>
      <c r="W89" s="144" t="s">
        <v>218</v>
      </c>
      <c r="X89" s="145" t="s">
        <v>218</v>
      </c>
      <c r="Y89" s="116" t="s">
        <v>218</v>
      </c>
      <c r="Z89" s="145" t="s">
        <v>218</v>
      </c>
      <c r="AA89" s="116" t="s">
        <v>218</v>
      </c>
      <c r="AB89" s="145" t="str">
        <f t="shared" si="2"/>
        <v>да</v>
      </c>
      <c r="AC89" s="116" t="s">
        <v>219</v>
      </c>
      <c r="AD89" s="116" t="s">
        <v>218</v>
      </c>
      <c r="AE89" s="116" t="s">
        <v>219</v>
      </c>
      <c r="AF89" s="145">
        <v>18</v>
      </c>
      <c r="AG89" s="116">
        <v>6</v>
      </c>
      <c r="AH89" s="132">
        <v>4</v>
      </c>
      <c r="AI89" s="116">
        <v>4</v>
      </c>
      <c r="AJ89" s="116">
        <f>'[1]ТЭ (прил. 2.1)'!AY92</f>
        <v>1</v>
      </c>
      <c r="AK89" s="116">
        <v>0</v>
      </c>
      <c r="AL89" s="81"/>
    </row>
    <row r="90" spans="1:38" s="83" customFormat="1" ht="32.25" customHeight="1" x14ac:dyDescent="0.3">
      <c r="A90" s="5">
        <v>83</v>
      </c>
      <c r="B90" s="87" t="s">
        <v>196</v>
      </c>
      <c r="C90" s="87" t="s">
        <v>381</v>
      </c>
      <c r="D90" s="138" t="s">
        <v>393</v>
      </c>
      <c r="E90" s="116" t="s">
        <v>394</v>
      </c>
      <c r="F90" s="116" t="s">
        <v>245</v>
      </c>
      <c r="G90" s="116"/>
      <c r="H90" s="84" t="s">
        <v>661</v>
      </c>
      <c r="I90" s="166" t="s">
        <v>376</v>
      </c>
      <c r="J90" s="23" t="s">
        <v>308</v>
      </c>
      <c r="K90" s="146"/>
      <c r="L90" s="166"/>
      <c r="M90" s="116"/>
      <c r="N90" s="141"/>
      <c r="O90" s="148"/>
      <c r="P90" s="116"/>
      <c r="Q90" s="116"/>
      <c r="R90" s="116"/>
      <c r="S90" s="142"/>
      <c r="T90" s="143"/>
      <c r="U90" s="142"/>
      <c r="V90" s="142"/>
      <c r="W90" s="144"/>
      <c r="X90" s="145"/>
      <c r="Y90" s="116"/>
      <c r="Z90" s="145"/>
      <c r="AA90" s="116"/>
      <c r="AB90" s="145"/>
      <c r="AC90" s="116"/>
      <c r="AD90" s="116"/>
      <c r="AE90" s="116"/>
      <c r="AF90" s="145"/>
      <c r="AG90" s="116"/>
      <c r="AH90" s="132"/>
      <c r="AI90" s="116"/>
      <c r="AJ90" s="116"/>
      <c r="AK90" s="116"/>
      <c r="AL90" s="81"/>
    </row>
    <row r="91" spans="1:38" s="83" customFormat="1" ht="32.25" customHeight="1" x14ac:dyDescent="0.3">
      <c r="A91" s="80">
        <v>84</v>
      </c>
      <c r="B91" s="87" t="s">
        <v>196</v>
      </c>
      <c r="C91" s="87" t="s">
        <v>381</v>
      </c>
      <c r="D91" s="138" t="s">
        <v>392</v>
      </c>
      <c r="E91" s="116">
        <v>53</v>
      </c>
      <c r="F91" s="116">
        <v>2</v>
      </c>
      <c r="G91" s="116"/>
      <c r="H91" s="84" t="s">
        <v>662</v>
      </c>
      <c r="I91" s="166" t="s">
        <v>376</v>
      </c>
      <c r="J91" s="23"/>
      <c r="K91" s="146" t="s">
        <v>199</v>
      </c>
      <c r="L91" s="166">
        <v>137</v>
      </c>
      <c r="M91" s="116">
        <v>1982</v>
      </c>
      <c r="N91" s="141" t="s">
        <v>200</v>
      </c>
      <c r="O91" s="116">
        <v>12</v>
      </c>
      <c r="P91" s="116">
        <v>0</v>
      </c>
      <c r="Q91" s="116">
        <v>5</v>
      </c>
      <c r="R91" s="116">
        <v>310</v>
      </c>
      <c r="S91" s="142">
        <v>17827</v>
      </c>
      <c r="T91" s="143">
        <f t="shared" si="0"/>
        <v>17827</v>
      </c>
      <c r="U91" s="142">
        <v>10161.200000000001</v>
      </c>
      <c r="V91" s="142">
        <f t="shared" si="1"/>
        <v>7665.7999999999993</v>
      </c>
      <c r="W91" s="144" t="s">
        <v>218</v>
      </c>
      <c r="X91" s="145" t="s">
        <v>218</v>
      </c>
      <c r="Y91" s="116" t="s">
        <v>218</v>
      </c>
      <c r="Z91" s="145" t="s">
        <v>218</v>
      </c>
      <c r="AA91" s="116" t="s">
        <v>218</v>
      </c>
      <c r="AB91" s="145" t="str">
        <f t="shared" si="2"/>
        <v>нет</v>
      </c>
      <c r="AC91" s="116" t="s">
        <v>219</v>
      </c>
      <c r="AD91" s="116" t="s">
        <v>219</v>
      </c>
      <c r="AE91" s="116" t="s">
        <v>218</v>
      </c>
      <c r="AF91" s="145">
        <v>10</v>
      </c>
      <c r="AG91" s="116">
        <v>2</v>
      </c>
      <c r="AH91" s="132">
        <v>4</v>
      </c>
      <c r="AI91" s="116">
        <v>1</v>
      </c>
      <c r="AJ91" s="116">
        <f>'[1]ТЭ (прил. 2.1)'!AY94</f>
        <v>1</v>
      </c>
      <c r="AK91" s="116">
        <v>0</v>
      </c>
      <c r="AL91" s="81"/>
    </row>
    <row r="92" spans="1:38" s="83" customFormat="1" ht="32.25" customHeight="1" x14ac:dyDescent="0.3">
      <c r="A92" s="114">
        <v>85</v>
      </c>
      <c r="B92" s="87" t="s">
        <v>196</v>
      </c>
      <c r="C92" s="87" t="s">
        <v>381</v>
      </c>
      <c r="D92" s="138" t="s">
        <v>392</v>
      </c>
      <c r="E92" s="116">
        <v>58</v>
      </c>
      <c r="F92" s="116">
        <v>1</v>
      </c>
      <c r="G92" s="116"/>
      <c r="H92" s="84" t="s">
        <v>663</v>
      </c>
      <c r="I92" s="166" t="s">
        <v>376</v>
      </c>
      <c r="J92" s="23"/>
      <c r="K92" s="146" t="s">
        <v>199</v>
      </c>
      <c r="L92" s="166">
        <v>137</v>
      </c>
      <c r="M92" s="116">
        <v>1982</v>
      </c>
      <c r="N92" s="141" t="s">
        <v>380</v>
      </c>
      <c r="O92" s="116">
        <v>12</v>
      </c>
      <c r="P92" s="116">
        <v>0</v>
      </c>
      <c r="Q92" s="116">
        <v>7</v>
      </c>
      <c r="R92" s="116">
        <v>443</v>
      </c>
      <c r="S92" s="142">
        <v>25218.2</v>
      </c>
      <c r="T92" s="143">
        <f t="shared" si="0"/>
        <v>25218.2</v>
      </c>
      <c r="U92" s="142">
        <v>14587.2</v>
      </c>
      <c r="V92" s="142">
        <f t="shared" si="1"/>
        <v>10631</v>
      </c>
      <c r="W92" s="144" t="s">
        <v>218</v>
      </c>
      <c r="X92" s="145" t="s">
        <v>218</v>
      </c>
      <c r="Y92" s="116" t="s">
        <v>218</v>
      </c>
      <c r="Z92" s="145" t="s">
        <v>218</v>
      </c>
      <c r="AA92" s="116" t="s">
        <v>218</v>
      </c>
      <c r="AB92" s="145" t="str">
        <f t="shared" si="2"/>
        <v>нет</v>
      </c>
      <c r="AC92" s="116" t="s">
        <v>219</v>
      </c>
      <c r="AD92" s="116" t="s">
        <v>219</v>
      </c>
      <c r="AE92" s="116" t="s">
        <v>218</v>
      </c>
      <c r="AF92" s="145">
        <v>14</v>
      </c>
      <c r="AG92" s="116">
        <v>4</v>
      </c>
      <c r="AH92" s="132">
        <v>4</v>
      </c>
      <c r="AI92" s="116">
        <v>1</v>
      </c>
      <c r="AJ92" s="116">
        <f>'[1]ТЭ (прил. 2.1)'!AY95</f>
        <v>1</v>
      </c>
      <c r="AK92" s="116">
        <v>0</v>
      </c>
      <c r="AL92" s="81"/>
    </row>
    <row r="93" spans="1:38" s="83" customFormat="1" ht="32.25" customHeight="1" x14ac:dyDescent="0.3">
      <c r="A93" s="5">
        <v>86</v>
      </c>
      <c r="B93" s="87" t="s">
        <v>196</v>
      </c>
      <c r="C93" s="87" t="s">
        <v>370</v>
      </c>
      <c r="D93" s="138" t="s">
        <v>395</v>
      </c>
      <c r="E93" s="116">
        <v>17</v>
      </c>
      <c r="F93" s="116">
        <v>3</v>
      </c>
      <c r="G93" s="116"/>
      <c r="H93" s="84" t="s">
        <v>664</v>
      </c>
      <c r="I93" s="166" t="s">
        <v>376</v>
      </c>
      <c r="J93" s="23" t="s">
        <v>352</v>
      </c>
      <c r="K93" s="146"/>
      <c r="L93" s="166"/>
      <c r="M93" s="116"/>
      <c r="N93" s="141"/>
      <c r="O93" s="116"/>
      <c r="P93" s="116"/>
      <c r="Q93" s="116"/>
      <c r="R93" s="116"/>
      <c r="S93" s="142"/>
      <c r="T93" s="143"/>
      <c r="U93" s="142"/>
      <c r="V93" s="142"/>
      <c r="W93" s="144"/>
      <c r="X93" s="145"/>
      <c r="Y93" s="116"/>
      <c r="Z93" s="145"/>
      <c r="AA93" s="116"/>
      <c r="AB93" s="145"/>
      <c r="AC93" s="116"/>
      <c r="AD93" s="116"/>
      <c r="AE93" s="116"/>
      <c r="AF93" s="145"/>
      <c r="AG93" s="116"/>
      <c r="AH93" s="132"/>
      <c r="AI93" s="116"/>
      <c r="AJ93" s="116"/>
      <c r="AK93" s="116"/>
      <c r="AL93" s="81"/>
    </row>
    <row r="94" spans="1:38" s="83" customFormat="1" ht="32.25" customHeight="1" x14ac:dyDescent="0.3">
      <c r="A94" s="80">
        <v>87</v>
      </c>
      <c r="B94" s="87" t="s">
        <v>196</v>
      </c>
      <c r="C94" s="87" t="s">
        <v>370</v>
      </c>
      <c r="D94" s="138" t="s">
        <v>395</v>
      </c>
      <c r="E94" s="116">
        <v>19</v>
      </c>
      <c r="F94" s="116">
        <v>1</v>
      </c>
      <c r="G94" s="116"/>
      <c r="H94" s="84" t="s">
        <v>665</v>
      </c>
      <c r="I94" s="166" t="s">
        <v>376</v>
      </c>
      <c r="J94" s="23" t="s">
        <v>352</v>
      </c>
      <c r="K94" s="146"/>
      <c r="L94" s="166"/>
      <c r="M94" s="116"/>
      <c r="N94" s="141"/>
      <c r="O94" s="116"/>
      <c r="P94" s="116"/>
      <c r="Q94" s="116"/>
      <c r="R94" s="116"/>
      <c r="S94" s="142"/>
      <c r="T94" s="143"/>
      <c r="U94" s="142"/>
      <c r="V94" s="142"/>
      <c r="W94" s="144"/>
      <c r="X94" s="145"/>
      <c r="Y94" s="116"/>
      <c r="Z94" s="145"/>
      <c r="AA94" s="116"/>
      <c r="AB94" s="145"/>
      <c r="AC94" s="116"/>
      <c r="AD94" s="116"/>
      <c r="AE94" s="116"/>
      <c r="AF94" s="145"/>
      <c r="AG94" s="116"/>
      <c r="AH94" s="132"/>
      <c r="AI94" s="116"/>
      <c r="AJ94" s="116"/>
      <c r="AK94" s="116"/>
      <c r="AL94" s="81"/>
    </row>
    <row r="95" spans="1:38" s="83" customFormat="1" ht="32.25" customHeight="1" x14ac:dyDescent="0.3">
      <c r="A95" s="114">
        <v>88</v>
      </c>
      <c r="B95" s="87" t="s">
        <v>196</v>
      </c>
      <c r="C95" s="87" t="s">
        <v>370</v>
      </c>
      <c r="D95" s="138" t="s">
        <v>395</v>
      </c>
      <c r="E95" s="116">
        <v>21</v>
      </c>
      <c r="F95" s="116" t="s">
        <v>245</v>
      </c>
      <c r="G95" s="116"/>
      <c r="H95" s="84" t="s">
        <v>666</v>
      </c>
      <c r="I95" s="166" t="s">
        <v>376</v>
      </c>
      <c r="J95" s="23" t="s">
        <v>352</v>
      </c>
      <c r="K95" s="146"/>
      <c r="L95" s="166"/>
      <c r="M95" s="116"/>
      <c r="N95" s="141"/>
      <c r="O95" s="116"/>
      <c r="P95" s="116"/>
      <c r="Q95" s="116"/>
      <c r="R95" s="116"/>
      <c r="S95" s="142"/>
      <c r="T95" s="143"/>
      <c r="U95" s="142"/>
      <c r="V95" s="142"/>
      <c r="W95" s="144"/>
      <c r="X95" s="145"/>
      <c r="Y95" s="116"/>
      <c r="Z95" s="145"/>
      <c r="AA95" s="116"/>
      <c r="AB95" s="145"/>
      <c r="AC95" s="116"/>
      <c r="AD95" s="116"/>
      <c r="AE95" s="116"/>
      <c r="AF95" s="145"/>
      <c r="AG95" s="116"/>
      <c r="AH95" s="132"/>
      <c r="AI95" s="116"/>
      <c r="AJ95" s="116"/>
      <c r="AK95" s="116"/>
      <c r="AL95" s="81"/>
    </row>
    <row r="96" spans="1:38" s="83" customFormat="1" ht="32.25" customHeight="1" x14ac:dyDescent="0.3">
      <c r="A96" s="5">
        <v>89</v>
      </c>
      <c r="B96" s="87" t="s">
        <v>196</v>
      </c>
      <c r="C96" s="87" t="s">
        <v>373</v>
      </c>
      <c r="D96" s="138" t="s">
        <v>396</v>
      </c>
      <c r="E96" s="116">
        <v>5</v>
      </c>
      <c r="F96" s="116">
        <v>2</v>
      </c>
      <c r="G96" s="116"/>
      <c r="H96" s="84" t="s">
        <v>667</v>
      </c>
      <c r="I96" s="166" t="s">
        <v>376</v>
      </c>
      <c r="J96" s="29" t="s">
        <v>397</v>
      </c>
      <c r="K96" s="146"/>
      <c r="L96" s="166"/>
      <c r="M96" s="116"/>
      <c r="N96" s="141"/>
      <c r="O96" s="148"/>
      <c r="P96" s="116"/>
      <c r="Q96" s="116"/>
      <c r="R96" s="116"/>
      <c r="S96" s="142"/>
      <c r="T96" s="143"/>
      <c r="U96" s="142"/>
      <c r="V96" s="142"/>
      <c r="W96" s="144"/>
      <c r="X96" s="145"/>
      <c r="Y96" s="116"/>
      <c r="Z96" s="145"/>
      <c r="AA96" s="116"/>
      <c r="AB96" s="145"/>
      <c r="AC96" s="116"/>
      <c r="AD96" s="116"/>
      <c r="AE96" s="116"/>
      <c r="AF96" s="145"/>
      <c r="AG96" s="116"/>
      <c r="AH96" s="132"/>
      <c r="AI96" s="116"/>
      <c r="AJ96" s="116"/>
      <c r="AK96" s="116"/>
      <c r="AL96" s="81"/>
    </row>
    <row r="97" spans="1:38" s="83" customFormat="1" ht="32.25" customHeight="1" x14ac:dyDescent="0.3">
      <c r="A97" s="80">
        <v>90</v>
      </c>
      <c r="B97" s="87" t="s">
        <v>196</v>
      </c>
      <c r="C97" s="87" t="s">
        <v>373</v>
      </c>
      <c r="D97" s="138" t="s">
        <v>398</v>
      </c>
      <c r="E97" s="116">
        <v>52</v>
      </c>
      <c r="F97" s="116" t="s">
        <v>245</v>
      </c>
      <c r="G97" s="116"/>
      <c r="H97" s="84" t="s">
        <v>668</v>
      </c>
      <c r="I97" s="166" t="s">
        <v>376</v>
      </c>
      <c r="J97" s="23"/>
      <c r="K97" s="146" t="s">
        <v>303</v>
      </c>
      <c r="L97" s="166" t="s">
        <v>389</v>
      </c>
      <c r="M97" s="116">
        <v>1981</v>
      </c>
      <c r="N97" s="141" t="s">
        <v>377</v>
      </c>
      <c r="O97" s="116">
        <v>15</v>
      </c>
      <c r="P97" s="116">
        <v>0</v>
      </c>
      <c r="Q97" s="116">
        <v>2</v>
      </c>
      <c r="R97" s="116">
        <v>75</v>
      </c>
      <c r="S97" s="142">
        <v>6985.51</v>
      </c>
      <c r="T97" s="143">
        <f t="shared" si="0"/>
        <v>6985.51</v>
      </c>
      <c r="U97" s="142">
        <v>3166</v>
      </c>
      <c r="V97" s="142">
        <f t="shared" si="1"/>
        <v>3819.51</v>
      </c>
      <c r="W97" s="144" t="s">
        <v>218</v>
      </c>
      <c r="X97" s="145" t="s">
        <v>218</v>
      </c>
      <c r="Y97" s="116" t="s">
        <v>218</v>
      </c>
      <c r="Z97" s="145" t="s">
        <v>218</v>
      </c>
      <c r="AA97" s="116" t="s">
        <v>218</v>
      </c>
      <c r="AB97" s="145" t="str">
        <f t="shared" si="2"/>
        <v>нет</v>
      </c>
      <c r="AC97" s="116" t="s">
        <v>219</v>
      </c>
      <c r="AD97" s="116" t="s">
        <v>219</v>
      </c>
      <c r="AE97" s="116" t="s">
        <v>218</v>
      </c>
      <c r="AF97" s="145">
        <v>3</v>
      </c>
      <c r="AG97" s="116">
        <v>2</v>
      </c>
      <c r="AH97" s="132">
        <v>5</v>
      </c>
      <c r="AI97" s="116">
        <v>1</v>
      </c>
      <c r="AJ97" s="116">
        <f>'[1]ТЭ (прил. 2.1)'!AY100</f>
        <v>1</v>
      </c>
      <c r="AK97" s="116">
        <v>0</v>
      </c>
      <c r="AL97" s="81"/>
    </row>
    <row r="98" spans="1:38" s="83" customFormat="1" ht="32.25" customHeight="1" x14ac:dyDescent="0.3">
      <c r="A98" s="114">
        <v>91</v>
      </c>
      <c r="B98" s="87" t="s">
        <v>196</v>
      </c>
      <c r="C98" s="87" t="s">
        <v>381</v>
      </c>
      <c r="D98" s="138" t="s">
        <v>398</v>
      </c>
      <c r="E98" s="116">
        <v>58</v>
      </c>
      <c r="F98" s="116" t="s">
        <v>245</v>
      </c>
      <c r="G98" s="116"/>
      <c r="H98" s="84" t="s">
        <v>669</v>
      </c>
      <c r="I98" s="166" t="s">
        <v>376</v>
      </c>
      <c r="J98" s="23"/>
      <c r="K98" s="146" t="s">
        <v>199</v>
      </c>
      <c r="L98" s="166">
        <v>137</v>
      </c>
      <c r="M98" s="116">
        <v>1984</v>
      </c>
      <c r="N98" s="141" t="s">
        <v>200</v>
      </c>
      <c r="O98" s="116">
        <v>12</v>
      </c>
      <c r="P98" s="116">
        <v>0</v>
      </c>
      <c r="Q98" s="116">
        <v>8</v>
      </c>
      <c r="R98" s="116">
        <v>443</v>
      </c>
      <c r="S98" s="142">
        <v>28207.72</v>
      </c>
      <c r="T98" s="143">
        <f t="shared" si="0"/>
        <v>28207.72</v>
      </c>
      <c r="U98" s="142">
        <v>14374.6</v>
      </c>
      <c r="V98" s="142">
        <f t="shared" si="1"/>
        <v>13833.12</v>
      </c>
      <c r="W98" s="144" t="s">
        <v>218</v>
      </c>
      <c r="X98" s="145" t="s">
        <v>218</v>
      </c>
      <c r="Y98" s="116" t="s">
        <v>218</v>
      </c>
      <c r="Z98" s="145" t="s">
        <v>218</v>
      </c>
      <c r="AA98" s="116" t="s">
        <v>218</v>
      </c>
      <c r="AB98" s="145" t="str">
        <f t="shared" si="2"/>
        <v>нет</v>
      </c>
      <c r="AC98" s="116" t="s">
        <v>219</v>
      </c>
      <c r="AD98" s="116" t="s">
        <v>219</v>
      </c>
      <c r="AE98" s="116" t="s">
        <v>218</v>
      </c>
      <c r="AF98" s="145">
        <v>16</v>
      </c>
      <c r="AG98" s="116">
        <v>4</v>
      </c>
      <c r="AH98" s="132">
        <v>4</v>
      </c>
      <c r="AI98" s="116">
        <v>1</v>
      </c>
      <c r="AJ98" s="116">
        <f>'[1]ТЭ (прил. 2.1)'!AY101</f>
        <v>1</v>
      </c>
      <c r="AK98" s="116">
        <v>0</v>
      </c>
      <c r="AL98" s="81"/>
    </row>
    <row r="99" spans="1:38" s="83" customFormat="1" ht="32.25" customHeight="1" x14ac:dyDescent="0.3">
      <c r="A99" s="5">
        <v>92</v>
      </c>
      <c r="B99" s="87" t="s">
        <v>196</v>
      </c>
      <c r="C99" s="87" t="s">
        <v>381</v>
      </c>
      <c r="D99" s="138" t="s">
        <v>399</v>
      </c>
      <c r="E99" s="148" t="s">
        <v>400</v>
      </c>
      <c r="F99" s="116" t="s">
        <v>245</v>
      </c>
      <c r="G99" s="116"/>
      <c r="H99" s="84" t="s">
        <v>670</v>
      </c>
      <c r="I99" s="166" t="s">
        <v>247</v>
      </c>
      <c r="J99" s="23"/>
      <c r="K99" s="146" t="s">
        <v>199</v>
      </c>
      <c r="L99" s="166">
        <v>137</v>
      </c>
      <c r="M99" s="116">
        <v>1981</v>
      </c>
      <c r="N99" s="147" t="s">
        <v>384</v>
      </c>
      <c r="O99" s="116">
        <v>12</v>
      </c>
      <c r="P99" s="116">
        <v>0</v>
      </c>
      <c r="Q99" s="116">
        <v>9</v>
      </c>
      <c r="R99" s="116">
        <v>571</v>
      </c>
      <c r="S99" s="142">
        <v>32349</v>
      </c>
      <c r="T99" s="143">
        <f t="shared" si="0"/>
        <v>32349</v>
      </c>
      <c r="U99" s="142">
        <v>18683.36</v>
      </c>
      <c r="V99" s="142">
        <f t="shared" si="1"/>
        <v>13665.64</v>
      </c>
      <c r="W99" s="144" t="s">
        <v>218</v>
      </c>
      <c r="X99" s="145" t="s">
        <v>218</v>
      </c>
      <c r="Y99" s="116" t="s">
        <v>218</v>
      </c>
      <c r="Z99" s="145" t="s">
        <v>218</v>
      </c>
      <c r="AA99" s="116" t="s">
        <v>218</v>
      </c>
      <c r="AB99" s="145" t="str">
        <f t="shared" si="2"/>
        <v>нет</v>
      </c>
      <c r="AC99" s="116" t="s">
        <v>219</v>
      </c>
      <c r="AD99" s="116" t="s">
        <v>219</v>
      </c>
      <c r="AE99" s="116" t="s">
        <v>218</v>
      </c>
      <c r="AF99" s="145">
        <v>18</v>
      </c>
      <c r="AG99" s="116">
        <v>4</v>
      </c>
      <c r="AH99" s="132">
        <v>4</v>
      </c>
      <c r="AI99" s="116">
        <v>1</v>
      </c>
      <c r="AJ99" s="116">
        <f>'[1]ТЭ (прил. 2.1)'!AY102</f>
        <v>1</v>
      </c>
      <c r="AK99" s="116">
        <v>0</v>
      </c>
      <c r="AL99" s="81"/>
    </row>
    <row r="100" spans="1:38" s="83" customFormat="1" ht="32.25" customHeight="1" x14ac:dyDescent="0.3">
      <c r="A100" s="80">
        <v>93</v>
      </c>
      <c r="B100" s="87" t="s">
        <v>196</v>
      </c>
      <c r="C100" s="87" t="s">
        <v>381</v>
      </c>
      <c r="D100" s="138" t="s">
        <v>401</v>
      </c>
      <c r="E100" s="116">
        <v>9</v>
      </c>
      <c r="F100" s="116" t="s">
        <v>245</v>
      </c>
      <c r="G100" s="116"/>
      <c r="H100" s="84" t="s">
        <v>671</v>
      </c>
      <c r="I100" s="166" t="s">
        <v>376</v>
      </c>
      <c r="J100" s="23"/>
      <c r="K100" s="146" t="s">
        <v>199</v>
      </c>
      <c r="L100" s="166">
        <v>137</v>
      </c>
      <c r="M100" s="116">
        <v>1980</v>
      </c>
      <c r="N100" s="147" t="s">
        <v>380</v>
      </c>
      <c r="O100" s="116">
        <v>12</v>
      </c>
      <c r="P100" s="116">
        <v>0</v>
      </c>
      <c r="Q100" s="116">
        <v>6</v>
      </c>
      <c r="R100" s="116">
        <v>381</v>
      </c>
      <c r="S100" s="142">
        <v>21620.7</v>
      </c>
      <c r="T100" s="143">
        <f t="shared" si="0"/>
        <v>21620.7</v>
      </c>
      <c r="U100" s="142">
        <v>12275.8</v>
      </c>
      <c r="V100" s="142">
        <f t="shared" si="1"/>
        <v>9344.9000000000015</v>
      </c>
      <c r="W100" s="144" t="s">
        <v>218</v>
      </c>
      <c r="X100" s="145" t="s">
        <v>218</v>
      </c>
      <c r="Y100" s="116" t="s">
        <v>218</v>
      </c>
      <c r="Z100" s="145" t="s">
        <v>218</v>
      </c>
      <c r="AA100" s="116" t="s">
        <v>218</v>
      </c>
      <c r="AB100" s="145" t="str">
        <f t="shared" si="2"/>
        <v>нет</v>
      </c>
      <c r="AC100" s="116" t="s">
        <v>219</v>
      </c>
      <c r="AD100" s="116" t="s">
        <v>219</v>
      </c>
      <c r="AE100" s="116" t="s">
        <v>218</v>
      </c>
      <c r="AF100" s="145">
        <v>18</v>
      </c>
      <c r="AG100" s="116">
        <v>2</v>
      </c>
      <c r="AH100" s="132">
        <v>4</v>
      </c>
      <c r="AI100" s="116">
        <v>1</v>
      </c>
      <c r="AJ100" s="116">
        <f>'[1]ТЭ (прил. 2.1)'!AY103</f>
        <v>1</v>
      </c>
      <c r="AK100" s="116">
        <v>0</v>
      </c>
      <c r="AL100" s="81"/>
    </row>
    <row r="101" spans="1:38" s="83" customFormat="1" ht="32.25" customHeight="1" x14ac:dyDescent="0.3">
      <c r="A101" s="114">
        <v>94</v>
      </c>
      <c r="B101" s="87" t="s">
        <v>196</v>
      </c>
      <c r="C101" s="87" t="s">
        <v>381</v>
      </c>
      <c r="D101" s="138" t="s">
        <v>402</v>
      </c>
      <c r="E101" s="116">
        <v>15</v>
      </c>
      <c r="F101" s="116" t="s">
        <v>245</v>
      </c>
      <c r="G101" s="116"/>
      <c r="H101" s="84" t="s">
        <v>672</v>
      </c>
      <c r="I101" s="166" t="s">
        <v>376</v>
      </c>
      <c r="J101" s="23" t="s">
        <v>308</v>
      </c>
      <c r="K101" s="146"/>
      <c r="L101" s="166"/>
      <c r="M101" s="116"/>
      <c r="N101" s="141"/>
      <c r="O101" s="116"/>
      <c r="P101" s="116"/>
      <c r="Q101" s="116"/>
      <c r="R101" s="116"/>
      <c r="S101" s="142"/>
      <c r="T101" s="143"/>
      <c r="U101" s="142"/>
      <c r="V101" s="142"/>
      <c r="W101" s="144"/>
      <c r="X101" s="145"/>
      <c r="Y101" s="116"/>
      <c r="Z101" s="145"/>
      <c r="AA101" s="116"/>
      <c r="AB101" s="145"/>
      <c r="AC101" s="116"/>
      <c r="AD101" s="116"/>
      <c r="AE101" s="116"/>
      <c r="AF101" s="145"/>
      <c r="AG101" s="116"/>
      <c r="AH101" s="132"/>
      <c r="AI101" s="116"/>
      <c r="AJ101" s="116"/>
      <c r="AK101" s="116"/>
      <c r="AL101" s="81"/>
    </row>
    <row r="102" spans="1:38" s="83" customFormat="1" ht="32.25" customHeight="1" x14ac:dyDescent="0.3">
      <c r="A102" s="5">
        <v>95</v>
      </c>
      <c r="B102" s="87" t="s">
        <v>196</v>
      </c>
      <c r="C102" s="87" t="s">
        <v>381</v>
      </c>
      <c r="D102" s="138" t="s">
        <v>402</v>
      </c>
      <c r="E102" s="116">
        <v>21</v>
      </c>
      <c r="F102" s="116" t="s">
        <v>245</v>
      </c>
      <c r="G102" s="116"/>
      <c r="H102" s="84" t="s">
        <v>673</v>
      </c>
      <c r="I102" s="166" t="s">
        <v>376</v>
      </c>
      <c r="J102" s="23" t="s">
        <v>308</v>
      </c>
      <c r="K102" s="146"/>
      <c r="L102" s="166"/>
      <c r="M102" s="116"/>
      <c r="N102" s="141"/>
      <c r="O102" s="116"/>
      <c r="P102" s="116"/>
      <c r="Q102" s="116"/>
      <c r="R102" s="116"/>
      <c r="S102" s="142"/>
      <c r="T102" s="143"/>
      <c r="U102" s="142"/>
      <c r="V102" s="142"/>
      <c r="W102" s="144"/>
      <c r="X102" s="145"/>
      <c r="Y102" s="116"/>
      <c r="Z102" s="145"/>
      <c r="AA102" s="116"/>
      <c r="AB102" s="145"/>
      <c r="AC102" s="116"/>
      <c r="AD102" s="116"/>
      <c r="AE102" s="116"/>
      <c r="AF102" s="145"/>
      <c r="AG102" s="116"/>
      <c r="AH102" s="132"/>
      <c r="AI102" s="116"/>
      <c r="AJ102" s="116"/>
      <c r="AK102" s="116"/>
      <c r="AL102" s="81"/>
    </row>
    <row r="103" spans="1:38" s="83" customFormat="1" ht="32.25" customHeight="1" x14ac:dyDescent="0.3">
      <c r="A103" s="80">
        <v>96</v>
      </c>
      <c r="B103" s="87" t="s">
        <v>196</v>
      </c>
      <c r="C103" s="87" t="s">
        <v>381</v>
      </c>
      <c r="D103" s="138" t="s">
        <v>402</v>
      </c>
      <c r="E103" s="116">
        <v>23</v>
      </c>
      <c r="F103" s="116">
        <v>1</v>
      </c>
      <c r="G103" s="116"/>
      <c r="H103" s="84" t="s">
        <v>674</v>
      </c>
      <c r="I103" s="166" t="s">
        <v>376</v>
      </c>
      <c r="J103" s="23" t="s">
        <v>308</v>
      </c>
      <c r="K103" s="146"/>
      <c r="L103" s="166"/>
      <c r="M103" s="116"/>
      <c r="N103" s="141"/>
      <c r="O103" s="116"/>
      <c r="P103" s="116"/>
      <c r="Q103" s="116"/>
      <c r="R103" s="116"/>
      <c r="S103" s="142"/>
      <c r="T103" s="143"/>
      <c r="U103" s="142"/>
      <c r="V103" s="142"/>
      <c r="W103" s="144"/>
      <c r="X103" s="145"/>
      <c r="Y103" s="116"/>
      <c r="Z103" s="145"/>
      <c r="AA103" s="116"/>
      <c r="AB103" s="145"/>
      <c r="AC103" s="116"/>
      <c r="AD103" s="116"/>
      <c r="AE103" s="116"/>
      <c r="AF103" s="145"/>
      <c r="AG103" s="116"/>
      <c r="AH103" s="132"/>
      <c r="AI103" s="116"/>
      <c r="AJ103" s="116"/>
      <c r="AK103" s="116"/>
      <c r="AL103" s="81"/>
    </row>
    <row r="104" spans="1:38" s="83" customFormat="1" ht="32.25" customHeight="1" x14ac:dyDescent="0.3">
      <c r="A104" s="114">
        <v>97</v>
      </c>
      <c r="B104" s="87" t="s">
        <v>196</v>
      </c>
      <c r="C104" s="87" t="s">
        <v>381</v>
      </c>
      <c r="D104" s="138" t="s">
        <v>402</v>
      </c>
      <c r="E104" s="116">
        <v>9</v>
      </c>
      <c r="F104" s="116">
        <v>1</v>
      </c>
      <c r="G104" s="116"/>
      <c r="H104" s="84" t="s">
        <v>675</v>
      </c>
      <c r="I104" s="166" t="s">
        <v>376</v>
      </c>
      <c r="J104" s="23" t="s">
        <v>308</v>
      </c>
      <c r="K104" s="146"/>
      <c r="L104" s="166"/>
      <c r="M104" s="116"/>
      <c r="N104" s="141"/>
      <c r="O104" s="116"/>
      <c r="P104" s="116"/>
      <c r="Q104" s="116"/>
      <c r="R104" s="116"/>
      <c r="S104" s="142"/>
      <c r="T104" s="143"/>
      <c r="U104" s="142"/>
      <c r="V104" s="142"/>
      <c r="W104" s="144"/>
      <c r="X104" s="145"/>
      <c r="Y104" s="116"/>
      <c r="Z104" s="145"/>
      <c r="AA104" s="116"/>
      <c r="AB104" s="145"/>
      <c r="AC104" s="116"/>
      <c r="AD104" s="116"/>
      <c r="AE104" s="116"/>
      <c r="AF104" s="145"/>
      <c r="AG104" s="116"/>
      <c r="AH104" s="132"/>
      <c r="AI104" s="116"/>
      <c r="AJ104" s="116"/>
      <c r="AK104" s="116"/>
      <c r="AL104" s="81"/>
    </row>
    <row r="105" spans="1:38" s="83" customFormat="1" ht="32.25" customHeight="1" x14ac:dyDescent="0.3">
      <c r="A105" s="5">
        <v>98</v>
      </c>
      <c r="B105" s="87" t="s">
        <v>196</v>
      </c>
      <c r="C105" s="87" t="s">
        <v>381</v>
      </c>
      <c r="D105" s="138" t="s">
        <v>403</v>
      </c>
      <c r="E105" s="116">
        <v>7</v>
      </c>
      <c r="F105" s="116">
        <v>1</v>
      </c>
      <c r="G105" s="116"/>
      <c r="H105" s="84" t="s">
        <v>676</v>
      </c>
      <c r="I105" s="166" t="s">
        <v>376</v>
      </c>
      <c r="J105" s="23" t="s">
        <v>308</v>
      </c>
      <c r="K105" s="146"/>
      <c r="L105" s="166"/>
      <c r="M105" s="116"/>
      <c r="N105" s="141"/>
      <c r="O105" s="116"/>
      <c r="P105" s="116"/>
      <c r="Q105" s="116"/>
      <c r="R105" s="116"/>
      <c r="S105" s="142"/>
      <c r="T105" s="143"/>
      <c r="U105" s="142"/>
      <c r="V105" s="142"/>
      <c r="W105" s="144"/>
      <c r="X105" s="145"/>
      <c r="Y105" s="116"/>
      <c r="Z105" s="145"/>
      <c r="AA105" s="116"/>
      <c r="AB105" s="145"/>
      <c r="AC105" s="116"/>
      <c r="AD105" s="116"/>
      <c r="AE105" s="116"/>
      <c r="AF105" s="145"/>
      <c r="AG105" s="116"/>
      <c r="AH105" s="132"/>
      <c r="AI105" s="116"/>
      <c r="AJ105" s="116"/>
      <c r="AK105" s="116"/>
      <c r="AL105" s="81"/>
    </row>
    <row r="106" spans="1:38" s="83" customFormat="1" ht="32.25" customHeight="1" x14ac:dyDescent="0.3">
      <c r="A106" s="80">
        <v>99</v>
      </c>
      <c r="B106" s="87" t="s">
        <v>196</v>
      </c>
      <c r="C106" s="87" t="s">
        <v>339</v>
      </c>
      <c r="D106" s="138" t="s">
        <v>404</v>
      </c>
      <c r="E106" s="116">
        <v>18</v>
      </c>
      <c r="F106" s="116" t="s">
        <v>245</v>
      </c>
      <c r="G106" s="116"/>
      <c r="H106" s="84" t="s">
        <v>677</v>
      </c>
      <c r="I106" s="166" t="s">
        <v>376</v>
      </c>
      <c r="J106" s="23"/>
      <c r="K106" s="140" t="s">
        <v>372</v>
      </c>
      <c r="L106" s="166" t="s">
        <v>405</v>
      </c>
      <c r="M106" s="116">
        <v>1965</v>
      </c>
      <c r="N106" s="141" t="s">
        <v>303</v>
      </c>
      <c r="O106" s="116">
        <v>5</v>
      </c>
      <c r="P106" s="116">
        <v>0</v>
      </c>
      <c r="Q106" s="116">
        <v>9</v>
      </c>
      <c r="R106" s="116">
        <v>138</v>
      </c>
      <c r="S106" s="142">
        <v>6051.4</v>
      </c>
      <c r="T106" s="143">
        <f t="shared" si="0"/>
        <v>6051.4</v>
      </c>
      <c r="U106" s="142">
        <v>4065.46</v>
      </c>
      <c r="V106" s="142">
        <f t="shared" si="1"/>
        <v>1985.9399999999996</v>
      </c>
      <c r="W106" s="144" t="s">
        <v>218</v>
      </c>
      <c r="X106" s="145" t="s">
        <v>218</v>
      </c>
      <c r="Y106" s="116" t="s">
        <v>218</v>
      </c>
      <c r="Z106" s="145" t="s">
        <v>218</v>
      </c>
      <c r="AA106" s="116" t="s">
        <v>218</v>
      </c>
      <c r="AB106" s="145" t="str">
        <f t="shared" si="2"/>
        <v>да</v>
      </c>
      <c r="AC106" s="116" t="s">
        <v>219</v>
      </c>
      <c r="AD106" s="116" t="s">
        <v>218</v>
      </c>
      <c r="AE106" s="116" t="s">
        <v>219</v>
      </c>
      <c r="AF106" s="145">
        <v>0</v>
      </c>
      <c r="AG106" s="116">
        <v>1</v>
      </c>
      <c r="AH106" s="132">
        <v>1</v>
      </c>
      <c r="AI106" s="116">
        <v>1</v>
      </c>
      <c r="AJ106" s="116">
        <f>'[1]ТЭ (прил. 2.1)'!AY109</f>
        <v>1</v>
      </c>
      <c r="AK106" s="116">
        <v>0</v>
      </c>
      <c r="AL106" s="81"/>
    </row>
    <row r="107" spans="1:38" s="83" customFormat="1" ht="32.25" customHeight="1" x14ac:dyDescent="0.3">
      <c r="A107" s="114">
        <v>100</v>
      </c>
      <c r="B107" s="87" t="s">
        <v>196</v>
      </c>
      <c r="C107" s="87" t="s">
        <v>339</v>
      </c>
      <c r="D107" s="138" t="s">
        <v>404</v>
      </c>
      <c r="E107" s="116">
        <v>20</v>
      </c>
      <c r="F107" s="116" t="s">
        <v>245</v>
      </c>
      <c r="G107" s="116"/>
      <c r="H107" s="84" t="s">
        <v>678</v>
      </c>
      <c r="I107" s="166" t="s">
        <v>376</v>
      </c>
      <c r="J107" s="23"/>
      <c r="K107" s="140" t="s">
        <v>372</v>
      </c>
      <c r="L107" s="166" t="s">
        <v>405</v>
      </c>
      <c r="M107" s="116">
        <v>1965</v>
      </c>
      <c r="N107" s="141" t="s">
        <v>380</v>
      </c>
      <c r="O107" s="116">
        <v>5</v>
      </c>
      <c r="P107" s="116">
        <v>0</v>
      </c>
      <c r="Q107" s="116">
        <v>9</v>
      </c>
      <c r="R107" s="116">
        <v>136</v>
      </c>
      <c r="S107" s="142">
        <v>6067.91</v>
      </c>
      <c r="T107" s="143">
        <f t="shared" si="0"/>
        <v>6067.91</v>
      </c>
      <c r="U107" s="142">
        <v>4082.1</v>
      </c>
      <c r="V107" s="142">
        <f t="shared" si="1"/>
        <v>1985.81</v>
      </c>
      <c r="W107" s="144" t="s">
        <v>218</v>
      </c>
      <c r="X107" s="145" t="s">
        <v>218</v>
      </c>
      <c r="Y107" s="116" t="s">
        <v>218</v>
      </c>
      <c r="Z107" s="145" t="s">
        <v>218</v>
      </c>
      <c r="AA107" s="116" t="s">
        <v>218</v>
      </c>
      <c r="AB107" s="145" t="str">
        <f t="shared" si="2"/>
        <v>да</v>
      </c>
      <c r="AC107" s="116" t="s">
        <v>219</v>
      </c>
      <c r="AD107" s="116" t="s">
        <v>218</v>
      </c>
      <c r="AE107" s="116" t="s">
        <v>219</v>
      </c>
      <c r="AF107" s="145">
        <v>0</v>
      </c>
      <c r="AG107" s="116">
        <v>1</v>
      </c>
      <c r="AH107" s="132">
        <v>1</v>
      </c>
      <c r="AI107" s="116">
        <v>1</v>
      </c>
      <c r="AJ107" s="116">
        <f>'[1]ТЭ (прил. 2.1)'!AY110</f>
        <v>1</v>
      </c>
      <c r="AK107" s="116">
        <v>0</v>
      </c>
      <c r="AL107" s="81"/>
    </row>
    <row r="108" spans="1:38" s="83" customFormat="1" ht="32.25" customHeight="1" x14ac:dyDescent="0.3">
      <c r="A108" s="5">
        <v>101</v>
      </c>
      <c r="B108" s="87" t="s">
        <v>196</v>
      </c>
      <c r="C108" s="87" t="s">
        <v>339</v>
      </c>
      <c r="D108" s="138" t="s">
        <v>404</v>
      </c>
      <c r="E108" s="116">
        <v>22</v>
      </c>
      <c r="F108" s="116" t="s">
        <v>245</v>
      </c>
      <c r="G108" s="116"/>
      <c r="H108" s="84" t="s">
        <v>679</v>
      </c>
      <c r="I108" s="166" t="s">
        <v>376</v>
      </c>
      <c r="J108" s="23"/>
      <c r="K108" s="140" t="s">
        <v>372</v>
      </c>
      <c r="L108" s="166" t="s">
        <v>405</v>
      </c>
      <c r="M108" s="116">
        <v>1965</v>
      </c>
      <c r="N108" s="141" t="s">
        <v>380</v>
      </c>
      <c r="O108" s="116">
        <v>5</v>
      </c>
      <c r="P108" s="116">
        <v>0</v>
      </c>
      <c r="Q108" s="116">
        <v>9</v>
      </c>
      <c r="R108" s="116">
        <v>139</v>
      </c>
      <c r="S108" s="142">
        <v>6156.76</v>
      </c>
      <c r="T108" s="143">
        <f t="shared" si="0"/>
        <v>6156.76</v>
      </c>
      <c r="U108" s="142">
        <v>4118.2299999999996</v>
      </c>
      <c r="V108" s="142">
        <f t="shared" si="1"/>
        <v>2038.5300000000007</v>
      </c>
      <c r="W108" s="144" t="s">
        <v>218</v>
      </c>
      <c r="X108" s="145" t="s">
        <v>218</v>
      </c>
      <c r="Y108" s="116" t="s">
        <v>218</v>
      </c>
      <c r="Z108" s="145" t="s">
        <v>218</v>
      </c>
      <c r="AA108" s="116" t="s">
        <v>218</v>
      </c>
      <c r="AB108" s="145" t="str">
        <f t="shared" si="2"/>
        <v>да</v>
      </c>
      <c r="AC108" s="116" t="s">
        <v>219</v>
      </c>
      <c r="AD108" s="116" t="s">
        <v>218</v>
      </c>
      <c r="AE108" s="116" t="s">
        <v>219</v>
      </c>
      <c r="AF108" s="145">
        <v>0</v>
      </c>
      <c r="AG108" s="116">
        <v>1</v>
      </c>
      <c r="AH108" s="132">
        <v>1</v>
      </c>
      <c r="AI108" s="116">
        <v>1</v>
      </c>
      <c r="AJ108" s="116">
        <f>'[1]ТЭ (прил. 2.1)'!AY111</f>
        <v>1</v>
      </c>
      <c r="AK108" s="116">
        <v>0</v>
      </c>
      <c r="AL108" s="81"/>
    </row>
    <row r="109" spans="1:38" s="83" customFormat="1" ht="32.25" customHeight="1" x14ac:dyDescent="0.3">
      <c r="A109" s="80">
        <v>102</v>
      </c>
      <c r="B109" s="87" t="s">
        <v>196</v>
      </c>
      <c r="C109" s="87" t="s">
        <v>339</v>
      </c>
      <c r="D109" s="138" t="s">
        <v>404</v>
      </c>
      <c r="E109" s="116">
        <v>28</v>
      </c>
      <c r="F109" s="116" t="s">
        <v>245</v>
      </c>
      <c r="G109" s="116"/>
      <c r="H109" s="84" t="s">
        <v>680</v>
      </c>
      <c r="I109" s="166" t="s">
        <v>376</v>
      </c>
      <c r="J109" s="23"/>
      <c r="K109" s="140" t="s">
        <v>372</v>
      </c>
      <c r="L109" s="166" t="s">
        <v>311</v>
      </c>
      <c r="M109" s="116">
        <v>1965</v>
      </c>
      <c r="N109" s="141" t="s">
        <v>303</v>
      </c>
      <c r="O109" s="116">
        <v>5</v>
      </c>
      <c r="P109" s="116">
        <v>0</v>
      </c>
      <c r="Q109" s="116">
        <v>9</v>
      </c>
      <c r="R109" s="116">
        <v>139</v>
      </c>
      <c r="S109" s="142">
        <v>6056.39</v>
      </c>
      <c r="T109" s="143">
        <f t="shared" si="0"/>
        <v>6056.39</v>
      </c>
      <c r="U109" s="142">
        <v>4065.67</v>
      </c>
      <c r="V109" s="142">
        <f t="shared" si="1"/>
        <v>1990.7200000000003</v>
      </c>
      <c r="W109" s="144" t="s">
        <v>218</v>
      </c>
      <c r="X109" s="145" t="s">
        <v>218</v>
      </c>
      <c r="Y109" s="116" t="s">
        <v>218</v>
      </c>
      <c r="Z109" s="145" t="s">
        <v>218</v>
      </c>
      <c r="AA109" s="116" t="s">
        <v>218</v>
      </c>
      <c r="AB109" s="145" t="str">
        <f t="shared" si="2"/>
        <v>да</v>
      </c>
      <c r="AC109" s="116" t="s">
        <v>219</v>
      </c>
      <c r="AD109" s="116" t="s">
        <v>218</v>
      </c>
      <c r="AE109" s="116" t="s">
        <v>219</v>
      </c>
      <c r="AF109" s="145">
        <v>0</v>
      </c>
      <c r="AG109" s="116">
        <v>1</v>
      </c>
      <c r="AH109" s="132">
        <v>1</v>
      </c>
      <c r="AI109" s="116">
        <v>1</v>
      </c>
      <c r="AJ109" s="116">
        <f>'[1]ТЭ (прил. 2.1)'!AY112</f>
        <v>2</v>
      </c>
      <c r="AK109" s="116">
        <v>0</v>
      </c>
      <c r="AL109" s="81"/>
    </row>
    <row r="110" spans="1:38" s="83" customFormat="1" ht="32.25" customHeight="1" x14ac:dyDescent="0.3">
      <c r="A110" s="114">
        <v>103</v>
      </c>
      <c r="B110" s="87" t="s">
        <v>196</v>
      </c>
      <c r="C110" s="87" t="s">
        <v>339</v>
      </c>
      <c r="D110" s="138" t="s">
        <v>404</v>
      </c>
      <c r="E110" s="116">
        <v>30</v>
      </c>
      <c r="F110" s="116">
        <v>4</v>
      </c>
      <c r="G110" s="116"/>
      <c r="H110" s="84" t="s">
        <v>681</v>
      </c>
      <c r="I110" s="166" t="s">
        <v>376</v>
      </c>
      <c r="J110" s="23"/>
      <c r="K110" s="140" t="s">
        <v>372</v>
      </c>
      <c r="L110" s="166" t="s">
        <v>315</v>
      </c>
      <c r="M110" s="116">
        <v>1965</v>
      </c>
      <c r="N110" s="141" t="s">
        <v>380</v>
      </c>
      <c r="O110" s="116">
        <v>5</v>
      </c>
      <c r="P110" s="116">
        <v>0</v>
      </c>
      <c r="Q110" s="116">
        <v>6</v>
      </c>
      <c r="R110" s="116">
        <v>93</v>
      </c>
      <c r="S110" s="142">
        <v>4098.9999999999991</v>
      </c>
      <c r="T110" s="143">
        <f t="shared" si="0"/>
        <v>4098.9999999999991</v>
      </c>
      <c r="U110" s="142">
        <v>2683.79</v>
      </c>
      <c r="V110" s="142">
        <f t="shared" si="1"/>
        <v>1415.2099999999991</v>
      </c>
      <c r="W110" s="144" t="s">
        <v>218</v>
      </c>
      <c r="X110" s="145" t="s">
        <v>218</v>
      </c>
      <c r="Y110" s="116" t="s">
        <v>218</v>
      </c>
      <c r="Z110" s="145" t="s">
        <v>218</v>
      </c>
      <c r="AA110" s="116" t="s">
        <v>218</v>
      </c>
      <c r="AB110" s="145" t="str">
        <f t="shared" si="2"/>
        <v>да</v>
      </c>
      <c r="AC110" s="116" t="s">
        <v>219</v>
      </c>
      <c r="AD110" s="116" t="s">
        <v>218</v>
      </c>
      <c r="AE110" s="116" t="s">
        <v>219</v>
      </c>
      <c r="AF110" s="145">
        <v>0</v>
      </c>
      <c r="AG110" s="116">
        <v>1</v>
      </c>
      <c r="AH110" s="132">
        <v>1</v>
      </c>
      <c r="AI110" s="116">
        <v>1</v>
      </c>
      <c r="AJ110" s="116">
        <f>'[1]ТЭ (прил. 2.1)'!AY113</f>
        <v>1</v>
      </c>
      <c r="AK110" s="116">
        <v>0</v>
      </c>
      <c r="AL110" s="81"/>
    </row>
    <row r="111" spans="1:38" s="83" customFormat="1" ht="32.25" customHeight="1" x14ac:dyDescent="0.3">
      <c r="A111" s="5">
        <v>104</v>
      </c>
      <c r="B111" s="87" t="s">
        <v>196</v>
      </c>
      <c r="C111" s="87" t="s">
        <v>388</v>
      </c>
      <c r="D111" s="138" t="s">
        <v>404</v>
      </c>
      <c r="E111" s="116">
        <v>38</v>
      </c>
      <c r="F111" s="116" t="s">
        <v>245</v>
      </c>
      <c r="G111" s="116"/>
      <c r="H111" s="84" t="s">
        <v>682</v>
      </c>
      <c r="I111" s="166" t="s">
        <v>376</v>
      </c>
      <c r="J111" s="23"/>
      <c r="K111" s="146" t="s">
        <v>199</v>
      </c>
      <c r="L111" s="166" t="s">
        <v>406</v>
      </c>
      <c r="M111" s="116">
        <v>1967</v>
      </c>
      <c r="N111" s="141" t="s">
        <v>380</v>
      </c>
      <c r="O111" s="116">
        <v>9</v>
      </c>
      <c r="P111" s="116">
        <v>0</v>
      </c>
      <c r="Q111" s="116">
        <v>7</v>
      </c>
      <c r="R111" s="116">
        <v>255</v>
      </c>
      <c r="S111" s="142">
        <v>13156.54</v>
      </c>
      <c r="T111" s="143">
        <f t="shared" si="0"/>
        <v>13156.54</v>
      </c>
      <c r="U111" s="142">
        <v>8649.2999999999993</v>
      </c>
      <c r="V111" s="142">
        <f t="shared" si="1"/>
        <v>4507.2400000000016</v>
      </c>
      <c r="W111" s="144" t="s">
        <v>218</v>
      </c>
      <c r="X111" s="145" t="s">
        <v>218</v>
      </c>
      <c r="Y111" s="116" t="s">
        <v>218</v>
      </c>
      <c r="Z111" s="145" t="s">
        <v>218</v>
      </c>
      <c r="AA111" s="116" t="s">
        <v>218</v>
      </c>
      <c r="AB111" s="145" t="str">
        <f t="shared" si="2"/>
        <v>да</v>
      </c>
      <c r="AC111" s="116" t="s">
        <v>219</v>
      </c>
      <c r="AD111" s="116" t="s">
        <v>218</v>
      </c>
      <c r="AE111" s="116" t="s">
        <v>219</v>
      </c>
      <c r="AF111" s="145">
        <v>7</v>
      </c>
      <c r="AG111" s="116">
        <v>2</v>
      </c>
      <c r="AH111" s="132">
        <v>1</v>
      </c>
      <c r="AI111" s="116">
        <v>2</v>
      </c>
      <c r="AJ111" s="116">
        <f>'[1]ТЭ (прил. 2.1)'!AY114</f>
        <v>1</v>
      </c>
      <c r="AK111" s="116">
        <v>0</v>
      </c>
      <c r="AL111" s="81"/>
    </row>
    <row r="112" spans="1:38" s="83" customFormat="1" ht="32.25" customHeight="1" x14ac:dyDescent="0.3">
      <c r="A112" s="80">
        <v>105</v>
      </c>
      <c r="B112" s="87" t="s">
        <v>196</v>
      </c>
      <c r="C112" s="87" t="s">
        <v>388</v>
      </c>
      <c r="D112" s="138" t="s">
        <v>404</v>
      </c>
      <c r="E112" s="116">
        <v>40</v>
      </c>
      <c r="F112" s="116">
        <v>3</v>
      </c>
      <c r="G112" s="116"/>
      <c r="H112" s="84" t="s">
        <v>683</v>
      </c>
      <c r="I112" s="166" t="s">
        <v>376</v>
      </c>
      <c r="J112" s="23"/>
      <c r="K112" s="140" t="s">
        <v>372</v>
      </c>
      <c r="L112" s="166" t="s">
        <v>407</v>
      </c>
      <c r="M112" s="116">
        <v>1966</v>
      </c>
      <c r="N112" s="141" t="s">
        <v>380</v>
      </c>
      <c r="O112" s="116">
        <v>5</v>
      </c>
      <c r="P112" s="116">
        <v>0</v>
      </c>
      <c r="Q112" s="116">
        <v>9</v>
      </c>
      <c r="R112" s="116">
        <v>137</v>
      </c>
      <c r="S112" s="142">
        <v>6187.1</v>
      </c>
      <c r="T112" s="143">
        <f t="shared" ref="T112:T173" si="3">S112</f>
        <v>6187.1</v>
      </c>
      <c r="U112" s="142">
        <v>4098.3999999999996</v>
      </c>
      <c r="V112" s="142">
        <f t="shared" ref="V112:V173" si="4">S112-U112</f>
        <v>2088.7000000000007</v>
      </c>
      <c r="W112" s="144" t="s">
        <v>218</v>
      </c>
      <c r="X112" s="145" t="s">
        <v>218</v>
      </c>
      <c r="Y112" s="116" t="s">
        <v>218</v>
      </c>
      <c r="Z112" s="145" t="s">
        <v>218</v>
      </c>
      <c r="AA112" s="116" t="s">
        <v>218</v>
      </c>
      <c r="AB112" s="145" t="str">
        <f t="shared" ref="AB112:AB173" si="5">AD112</f>
        <v>да</v>
      </c>
      <c r="AC112" s="116" t="s">
        <v>219</v>
      </c>
      <c r="AD112" s="116" t="s">
        <v>218</v>
      </c>
      <c r="AE112" s="116" t="s">
        <v>219</v>
      </c>
      <c r="AF112" s="145">
        <v>0</v>
      </c>
      <c r="AG112" s="116">
        <v>0</v>
      </c>
      <c r="AH112" s="132">
        <v>1</v>
      </c>
      <c r="AI112" s="116">
        <v>1</v>
      </c>
      <c r="AJ112" s="116">
        <f>'[1]ТЭ (прил. 2.1)'!AY115</f>
        <v>1</v>
      </c>
      <c r="AK112" s="116">
        <v>0</v>
      </c>
      <c r="AL112" s="81"/>
    </row>
    <row r="113" spans="1:38" s="83" customFormat="1" ht="32.25" customHeight="1" x14ac:dyDescent="0.3">
      <c r="A113" s="114">
        <v>106</v>
      </c>
      <c r="B113" s="87" t="s">
        <v>196</v>
      </c>
      <c r="C113" s="87" t="s">
        <v>385</v>
      </c>
      <c r="D113" s="138" t="s">
        <v>408</v>
      </c>
      <c r="E113" s="116">
        <v>13</v>
      </c>
      <c r="F113" s="116" t="s">
        <v>245</v>
      </c>
      <c r="G113" s="116"/>
      <c r="H113" s="84" t="s">
        <v>684</v>
      </c>
      <c r="I113" s="166" t="s">
        <v>376</v>
      </c>
      <c r="J113" s="23"/>
      <c r="K113" s="140" t="s">
        <v>372</v>
      </c>
      <c r="L113" s="166" t="s">
        <v>367</v>
      </c>
      <c r="M113" s="116">
        <v>1968</v>
      </c>
      <c r="N113" s="141" t="s">
        <v>380</v>
      </c>
      <c r="O113" s="116">
        <v>5</v>
      </c>
      <c r="P113" s="116">
        <v>0</v>
      </c>
      <c r="Q113" s="116">
        <v>8</v>
      </c>
      <c r="R113" s="116">
        <v>159</v>
      </c>
      <c r="S113" s="142">
        <v>7095.81</v>
      </c>
      <c r="T113" s="143">
        <f t="shared" si="3"/>
        <v>7095.81</v>
      </c>
      <c r="U113" s="142">
        <v>4694.6400000000003</v>
      </c>
      <c r="V113" s="142">
        <f t="shared" si="4"/>
        <v>2401.17</v>
      </c>
      <c r="W113" s="144" t="s">
        <v>218</v>
      </c>
      <c r="X113" s="145" t="s">
        <v>218</v>
      </c>
      <c r="Y113" s="116" t="s">
        <v>218</v>
      </c>
      <c r="Z113" s="145" t="s">
        <v>218</v>
      </c>
      <c r="AA113" s="116" t="s">
        <v>218</v>
      </c>
      <c r="AB113" s="145" t="str">
        <f t="shared" si="5"/>
        <v>да</v>
      </c>
      <c r="AC113" s="116" t="s">
        <v>219</v>
      </c>
      <c r="AD113" s="116" t="s">
        <v>218</v>
      </c>
      <c r="AE113" s="116" t="s">
        <v>219</v>
      </c>
      <c r="AF113" s="145">
        <v>0</v>
      </c>
      <c r="AG113" s="116">
        <v>2</v>
      </c>
      <c r="AH113" s="132">
        <v>1</v>
      </c>
      <c r="AI113" s="116">
        <v>2</v>
      </c>
      <c r="AJ113" s="116">
        <f>'[1]ТЭ (прил. 2.1)'!AY116</f>
        <v>1</v>
      </c>
      <c r="AK113" s="116">
        <v>0</v>
      </c>
      <c r="AL113" s="81"/>
    </row>
    <row r="114" spans="1:38" s="83" customFormat="1" ht="32.25" customHeight="1" x14ac:dyDescent="0.3">
      <c r="A114" s="5">
        <v>107</v>
      </c>
      <c r="B114" s="87" t="s">
        <v>196</v>
      </c>
      <c r="C114" s="87" t="s">
        <v>385</v>
      </c>
      <c r="D114" s="138" t="s">
        <v>408</v>
      </c>
      <c r="E114" s="116">
        <v>15</v>
      </c>
      <c r="F114" s="116" t="s">
        <v>245</v>
      </c>
      <c r="G114" s="116"/>
      <c r="H114" s="84" t="s">
        <v>685</v>
      </c>
      <c r="I114" s="166" t="s">
        <v>376</v>
      </c>
      <c r="J114" s="23"/>
      <c r="K114" s="146" t="s">
        <v>199</v>
      </c>
      <c r="L114" s="166" t="s">
        <v>378</v>
      </c>
      <c r="M114" s="116">
        <v>1968</v>
      </c>
      <c r="N114" s="141" t="s">
        <v>380</v>
      </c>
      <c r="O114" s="116">
        <v>9</v>
      </c>
      <c r="P114" s="116">
        <v>0</v>
      </c>
      <c r="Q114" s="116">
        <v>9</v>
      </c>
      <c r="R114" s="116">
        <v>327</v>
      </c>
      <c r="S114" s="142">
        <v>17227.63</v>
      </c>
      <c r="T114" s="143">
        <f t="shared" si="3"/>
        <v>17227.63</v>
      </c>
      <c r="U114" s="142">
        <v>11367.45</v>
      </c>
      <c r="V114" s="142">
        <f t="shared" si="4"/>
        <v>5860.18</v>
      </c>
      <c r="W114" s="144" t="s">
        <v>218</v>
      </c>
      <c r="X114" s="145" t="s">
        <v>218</v>
      </c>
      <c r="Y114" s="116" t="s">
        <v>218</v>
      </c>
      <c r="Z114" s="145" t="s">
        <v>218</v>
      </c>
      <c r="AA114" s="116" t="s">
        <v>218</v>
      </c>
      <c r="AB114" s="145" t="str">
        <f t="shared" si="5"/>
        <v>да</v>
      </c>
      <c r="AC114" s="116" t="s">
        <v>219</v>
      </c>
      <c r="AD114" s="116" t="s">
        <v>218</v>
      </c>
      <c r="AE114" s="116" t="s">
        <v>219</v>
      </c>
      <c r="AF114" s="145">
        <v>9</v>
      </c>
      <c r="AG114" s="116">
        <v>0</v>
      </c>
      <c r="AH114" s="132">
        <v>1</v>
      </c>
      <c r="AI114" s="116">
        <v>2</v>
      </c>
      <c r="AJ114" s="116">
        <f>'[1]ТЭ (прил. 2.1)'!AY117</f>
        <v>1</v>
      </c>
      <c r="AK114" s="116">
        <v>0</v>
      </c>
      <c r="AL114" s="81"/>
    </row>
    <row r="115" spans="1:38" s="83" customFormat="1" ht="32.25" customHeight="1" x14ac:dyDescent="0.3">
      <c r="A115" s="80">
        <v>108</v>
      </c>
      <c r="B115" s="87" t="s">
        <v>196</v>
      </c>
      <c r="C115" s="87" t="s">
        <v>385</v>
      </c>
      <c r="D115" s="138" t="s">
        <v>408</v>
      </c>
      <c r="E115" s="116">
        <v>16</v>
      </c>
      <c r="F115" s="116" t="s">
        <v>245</v>
      </c>
      <c r="G115" s="116"/>
      <c r="H115" s="84" t="s">
        <v>686</v>
      </c>
      <c r="I115" s="166" t="s">
        <v>376</v>
      </c>
      <c r="J115" s="23"/>
      <c r="K115" s="140" t="s">
        <v>372</v>
      </c>
      <c r="L115" s="166" t="s">
        <v>409</v>
      </c>
      <c r="M115" s="116">
        <v>1968</v>
      </c>
      <c r="N115" s="141" t="s">
        <v>303</v>
      </c>
      <c r="O115" s="116">
        <v>5</v>
      </c>
      <c r="P115" s="116">
        <v>0</v>
      </c>
      <c r="Q115" s="116">
        <v>10</v>
      </c>
      <c r="R115" s="116">
        <v>100</v>
      </c>
      <c r="S115" s="142">
        <v>5047.9999999999991</v>
      </c>
      <c r="T115" s="143">
        <f t="shared" si="3"/>
        <v>5047.9999999999991</v>
      </c>
      <c r="U115" s="142">
        <v>3614.48</v>
      </c>
      <c r="V115" s="142">
        <f t="shared" si="4"/>
        <v>1433.5199999999991</v>
      </c>
      <c r="W115" s="144" t="s">
        <v>218</v>
      </c>
      <c r="X115" s="145" t="s">
        <v>218</v>
      </c>
      <c r="Y115" s="116" t="s">
        <v>218</v>
      </c>
      <c r="Z115" s="145" t="s">
        <v>218</v>
      </c>
      <c r="AA115" s="116" t="s">
        <v>218</v>
      </c>
      <c r="AB115" s="145" t="str">
        <f t="shared" si="5"/>
        <v>да</v>
      </c>
      <c r="AC115" s="116" t="s">
        <v>219</v>
      </c>
      <c r="AD115" s="116" t="s">
        <v>218</v>
      </c>
      <c r="AE115" s="116" t="s">
        <v>219</v>
      </c>
      <c r="AF115" s="145">
        <v>0</v>
      </c>
      <c r="AG115" s="116">
        <v>2</v>
      </c>
      <c r="AH115" s="132">
        <v>2</v>
      </c>
      <c r="AI115" s="116">
        <v>2</v>
      </c>
      <c r="AJ115" s="116">
        <f>'[1]ТЭ (прил. 2.1)'!AY118</f>
        <v>1</v>
      </c>
      <c r="AK115" s="116">
        <v>0</v>
      </c>
      <c r="AL115" s="81"/>
    </row>
    <row r="116" spans="1:38" s="83" customFormat="1" ht="32.25" customHeight="1" x14ac:dyDescent="0.3">
      <c r="A116" s="114">
        <v>109</v>
      </c>
      <c r="B116" s="87" t="s">
        <v>196</v>
      </c>
      <c r="C116" s="87" t="s">
        <v>388</v>
      </c>
      <c r="D116" s="138" t="s">
        <v>408</v>
      </c>
      <c r="E116" s="116">
        <v>17</v>
      </c>
      <c r="F116" s="116">
        <v>1</v>
      </c>
      <c r="G116" s="116"/>
      <c r="H116" s="84" t="s">
        <v>687</v>
      </c>
      <c r="I116" s="166" t="s">
        <v>376</v>
      </c>
      <c r="J116" s="23"/>
      <c r="K116" s="146" t="s">
        <v>303</v>
      </c>
      <c r="L116" s="166" t="s">
        <v>369</v>
      </c>
      <c r="M116" s="116">
        <v>1967</v>
      </c>
      <c r="N116" s="141" t="s">
        <v>377</v>
      </c>
      <c r="O116" s="116">
        <v>9</v>
      </c>
      <c r="P116" s="116">
        <v>0</v>
      </c>
      <c r="Q116" s="116">
        <v>4</v>
      </c>
      <c r="R116" s="116">
        <v>229</v>
      </c>
      <c r="S116" s="142">
        <v>11337.1</v>
      </c>
      <c r="T116" s="143">
        <f t="shared" si="3"/>
        <v>11337.1</v>
      </c>
      <c r="U116" s="142">
        <v>7029.1</v>
      </c>
      <c r="V116" s="142">
        <f t="shared" si="4"/>
        <v>4308</v>
      </c>
      <c r="W116" s="144" t="s">
        <v>218</v>
      </c>
      <c r="X116" s="145" t="s">
        <v>218</v>
      </c>
      <c r="Y116" s="116" t="s">
        <v>218</v>
      </c>
      <c r="Z116" s="145" t="s">
        <v>218</v>
      </c>
      <c r="AA116" s="116" t="s">
        <v>218</v>
      </c>
      <c r="AB116" s="145" t="str">
        <f t="shared" si="5"/>
        <v>да</v>
      </c>
      <c r="AC116" s="116" t="s">
        <v>219</v>
      </c>
      <c r="AD116" s="116" t="s">
        <v>218</v>
      </c>
      <c r="AE116" s="116" t="s">
        <v>219</v>
      </c>
      <c r="AF116" s="145">
        <v>4</v>
      </c>
      <c r="AG116" s="116">
        <v>2</v>
      </c>
      <c r="AH116" s="132">
        <v>1</v>
      </c>
      <c r="AI116" s="116">
        <v>2</v>
      </c>
      <c r="AJ116" s="116">
        <f>'[1]ТЭ (прил. 2.1)'!AY119</f>
        <v>1</v>
      </c>
      <c r="AK116" s="116">
        <v>0</v>
      </c>
      <c r="AL116" s="81"/>
    </row>
    <row r="117" spans="1:38" s="83" customFormat="1" ht="32.25" customHeight="1" x14ac:dyDescent="0.3">
      <c r="A117" s="5">
        <v>110</v>
      </c>
      <c r="B117" s="87" t="s">
        <v>196</v>
      </c>
      <c r="C117" s="87" t="s">
        <v>385</v>
      </c>
      <c r="D117" s="138" t="s">
        <v>408</v>
      </c>
      <c r="E117" s="116">
        <v>20</v>
      </c>
      <c r="F117" s="116" t="s">
        <v>245</v>
      </c>
      <c r="G117" s="116"/>
      <c r="H117" s="84" t="s">
        <v>688</v>
      </c>
      <c r="I117" s="166" t="s">
        <v>376</v>
      </c>
      <c r="J117" s="23"/>
      <c r="K117" s="146" t="s">
        <v>199</v>
      </c>
      <c r="L117" s="166" t="s">
        <v>378</v>
      </c>
      <c r="M117" s="116">
        <v>1969</v>
      </c>
      <c r="N117" s="147" t="s">
        <v>384</v>
      </c>
      <c r="O117" s="116">
        <v>9</v>
      </c>
      <c r="P117" s="116">
        <v>0</v>
      </c>
      <c r="Q117" s="116">
        <v>9</v>
      </c>
      <c r="R117" s="116">
        <v>325</v>
      </c>
      <c r="S117" s="142">
        <v>17211.02</v>
      </c>
      <c r="T117" s="143">
        <f t="shared" si="3"/>
        <v>17211.02</v>
      </c>
      <c r="U117" s="142">
        <v>11291.61</v>
      </c>
      <c r="V117" s="142">
        <f t="shared" si="4"/>
        <v>5919.41</v>
      </c>
      <c r="W117" s="144" t="s">
        <v>218</v>
      </c>
      <c r="X117" s="145" t="s">
        <v>218</v>
      </c>
      <c r="Y117" s="116" t="s">
        <v>218</v>
      </c>
      <c r="Z117" s="145" t="s">
        <v>218</v>
      </c>
      <c r="AA117" s="116" t="s">
        <v>218</v>
      </c>
      <c r="AB117" s="145" t="str">
        <f t="shared" si="5"/>
        <v>да</v>
      </c>
      <c r="AC117" s="116" t="s">
        <v>219</v>
      </c>
      <c r="AD117" s="116" t="s">
        <v>218</v>
      </c>
      <c r="AE117" s="116" t="s">
        <v>219</v>
      </c>
      <c r="AF117" s="145">
        <v>9</v>
      </c>
      <c r="AG117" s="116">
        <v>2</v>
      </c>
      <c r="AH117" s="132">
        <v>2</v>
      </c>
      <c r="AI117" s="116">
        <v>2</v>
      </c>
      <c r="AJ117" s="116">
        <f>'[1]ТЭ (прил. 2.1)'!AY120</f>
        <v>1</v>
      </c>
      <c r="AK117" s="116">
        <v>0</v>
      </c>
      <c r="AL117" s="81"/>
    </row>
    <row r="118" spans="1:38" s="83" customFormat="1" ht="32.25" customHeight="1" x14ac:dyDescent="0.3">
      <c r="A118" s="80">
        <v>111</v>
      </c>
      <c r="B118" s="87" t="s">
        <v>196</v>
      </c>
      <c r="C118" s="87" t="s">
        <v>388</v>
      </c>
      <c r="D118" s="138" t="s">
        <v>408</v>
      </c>
      <c r="E118" s="116">
        <v>22</v>
      </c>
      <c r="F118" s="116" t="s">
        <v>245</v>
      </c>
      <c r="G118" s="116"/>
      <c r="H118" s="84" t="s">
        <v>689</v>
      </c>
      <c r="I118" s="166" t="s">
        <v>376</v>
      </c>
      <c r="J118" s="23"/>
      <c r="K118" s="146" t="s">
        <v>303</v>
      </c>
      <c r="L118" s="166" t="s">
        <v>369</v>
      </c>
      <c r="M118" s="116">
        <v>1967</v>
      </c>
      <c r="N118" s="147" t="s">
        <v>380</v>
      </c>
      <c r="O118" s="116">
        <v>9</v>
      </c>
      <c r="P118" s="116">
        <v>0</v>
      </c>
      <c r="Q118" s="116">
        <v>4</v>
      </c>
      <c r="R118" s="116">
        <v>232</v>
      </c>
      <c r="S118" s="142">
        <v>11411.35</v>
      </c>
      <c r="T118" s="143">
        <f t="shared" si="3"/>
        <v>11411.35</v>
      </c>
      <c r="U118" s="142">
        <v>7293.72</v>
      </c>
      <c r="V118" s="142">
        <f t="shared" si="4"/>
        <v>4117.63</v>
      </c>
      <c r="W118" s="144" t="s">
        <v>218</v>
      </c>
      <c r="X118" s="145" t="s">
        <v>218</v>
      </c>
      <c r="Y118" s="116" t="s">
        <v>218</v>
      </c>
      <c r="Z118" s="145" t="s">
        <v>218</v>
      </c>
      <c r="AA118" s="116" t="s">
        <v>218</v>
      </c>
      <c r="AB118" s="145" t="str">
        <f t="shared" si="5"/>
        <v>да</v>
      </c>
      <c r="AC118" s="116" t="s">
        <v>219</v>
      </c>
      <c r="AD118" s="116" t="s">
        <v>218</v>
      </c>
      <c r="AE118" s="116" t="s">
        <v>219</v>
      </c>
      <c r="AF118" s="145">
        <v>4</v>
      </c>
      <c r="AG118" s="116">
        <v>2</v>
      </c>
      <c r="AH118" s="132">
        <v>1</v>
      </c>
      <c r="AI118" s="116">
        <v>2</v>
      </c>
      <c r="AJ118" s="116">
        <f>'[1]ТЭ (прил. 2.1)'!AY121</f>
        <v>2</v>
      </c>
      <c r="AK118" s="116">
        <v>0</v>
      </c>
      <c r="AL118" s="81"/>
    </row>
    <row r="119" spans="1:38" s="83" customFormat="1" ht="32.25" customHeight="1" x14ac:dyDescent="0.3">
      <c r="A119" s="114">
        <v>112</v>
      </c>
      <c r="B119" s="87" t="s">
        <v>196</v>
      </c>
      <c r="C119" s="87" t="s">
        <v>385</v>
      </c>
      <c r="D119" s="138" t="s">
        <v>408</v>
      </c>
      <c r="E119" s="116">
        <v>3</v>
      </c>
      <c r="F119" s="116" t="s">
        <v>245</v>
      </c>
      <c r="G119" s="116"/>
      <c r="H119" s="84" t="s">
        <v>690</v>
      </c>
      <c r="I119" s="166" t="s">
        <v>376</v>
      </c>
      <c r="J119" s="23"/>
      <c r="K119" s="146" t="s">
        <v>199</v>
      </c>
      <c r="L119" s="166" t="s">
        <v>319</v>
      </c>
      <c r="M119" s="116">
        <v>1984</v>
      </c>
      <c r="N119" s="147" t="s">
        <v>410</v>
      </c>
      <c r="O119" s="116">
        <v>9</v>
      </c>
      <c r="P119" s="116">
        <v>0</v>
      </c>
      <c r="Q119" s="116">
        <v>8</v>
      </c>
      <c r="R119" s="116">
        <v>318</v>
      </c>
      <c r="S119" s="142">
        <v>15943.2</v>
      </c>
      <c r="T119" s="143">
        <f t="shared" si="3"/>
        <v>15943.2</v>
      </c>
      <c r="U119" s="142">
        <v>9949.36</v>
      </c>
      <c r="V119" s="142">
        <f t="shared" si="4"/>
        <v>5993.84</v>
      </c>
      <c r="W119" s="144" t="s">
        <v>218</v>
      </c>
      <c r="X119" s="145" t="s">
        <v>218</v>
      </c>
      <c r="Y119" s="116" t="s">
        <v>218</v>
      </c>
      <c r="Z119" s="145" t="s">
        <v>218</v>
      </c>
      <c r="AA119" s="116" t="s">
        <v>218</v>
      </c>
      <c r="AB119" s="145" t="str">
        <f t="shared" si="5"/>
        <v>да</v>
      </c>
      <c r="AC119" s="116" t="s">
        <v>219</v>
      </c>
      <c r="AD119" s="116" t="s">
        <v>218</v>
      </c>
      <c r="AE119" s="116" t="s">
        <v>219</v>
      </c>
      <c r="AF119" s="145">
        <v>8</v>
      </c>
      <c r="AG119" s="116">
        <v>2</v>
      </c>
      <c r="AH119" s="132">
        <v>3</v>
      </c>
      <c r="AI119" s="116">
        <v>3</v>
      </c>
      <c r="AJ119" s="116">
        <f>'[1]ТЭ (прил. 2.1)'!AY122</f>
        <v>1</v>
      </c>
      <c r="AK119" s="116">
        <v>0</v>
      </c>
      <c r="AL119" s="81"/>
    </row>
    <row r="120" spans="1:38" s="83" customFormat="1" ht="32.25" customHeight="1" x14ac:dyDescent="0.3">
      <c r="A120" s="5">
        <v>113</v>
      </c>
      <c r="B120" s="87" t="s">
        <v>196</v>
      </c>
      <c r="C120" s="87" t="s">
        <v>388</v>
      </c>
      <c r="D120" s="138" t="s">
        <v>408</v>
      </c>
      <c r="E120" s="116">
        <v>37</v>
      </c>
      <c r="F120" s="116">
        <v>2</v>
      </c>
      <c r="G120" s="116"/>
      <c r="H120" s="84" t="s">
        <v>691</v>
      </c>
      <c r="I120" s="166" t="s">
        <v>376</v>
      </c>
      <c r="J120" s="23"/>
      <c r="K120" s="146" t="s">
        <v>199</v>
      </c>
      <c r="L120" s="166" t="s">
        <v>407</v>
      </c>
      <c r="M120" s="116">
        <v>1966</v>
      </c>
      <c r="N120" s="141" t="s">
        <v>380</v>
      </c>
      <c r="O120" s="116">
        <v>5</v>
      </c>
      <c r="P120" s="116">
        <v>0</v>
      </c>
      <c r="Q120" s="116">
        <v>9</v>
      </c>
      <c r="R120" s="116">
        <v>138</v>
      </c>
      <c r="S120" s="142">
        <v>6021.85</v>
      </c>
      <c r="T120" s="143">
        <f t="shared" si="3"/>
        <v>6021.85</v>
      </c>
      <c r="U120" s="142">
        <v>4057.5</v>
      </c>
      <c r="V120" s="142">
        <f t="shared" si="4"/>
        <v>1964.3500000000004</v>
      </c>
      <c r="W120" s="144" t="s">
        <v>218</v>
      </c>
      <c r="X120" s="145" t="s">
        <v>218</v>
      </c>
      <c r="Y120" s="116" t="s">
        <v>218</v>
      </c>
      <c r="Z120" s="145" t="s">
        <v>218</v>
      </c>
      <c r="AA120" s="116" t="s">
        <v>218</v>
      </c>
      <c r="AB120" s="145" t="str">
        <f t="shared" si="5"/>
        <v>да</v>
      </c>
      <c r="AC120" s="116" t="s">
        <v>219</v>
      </c>
      <c r="AD120" s="116" t="s">
        <v>218</v>
      </c>
      <c r="AE120" s="116" t="s">
        <v>219</v>
      </c>
      <c r="AF120" s="145">
        <v>0</v>
      </c>
      <c r="AG120" s="116">
        <v>1</v>
      </c>
      <c r="AH120" s="132">
        <v>1</v>
      </c>
      <c r="AI120" s="116">
        <v>1</v>
      </c>
      <c r="AJ120" s="116">
        <f>'[1]ТЭ (прил. 2.1)'!AY123</f>
        <v>2</v>
      </c>
      <c r="AK120" s="116">
        <v>0</v>
      </c>
      <c r="AL120" s="81"/>
    </row>
    <row r="121" spans="1:38" s="83" customFormat="1" ht="32.25" customHeight="1" x14ac:dyDescent="0.3">
      <c r="A121" s="80">
        <v>114</v>
      </c>
      <c r="B121" s="87" t="s">
        <v>196</v>
      </c>
      <c r="C121" s="87" t="s">
        <v>385</v>
      </c>
      <c r="D121" s="138" t="s">
        <v>408</v>
      </c>
      <c r="E121" s="116">
        <v>7</v>
      </c>
      <c r="F121" s="116">
        <v>1</v>
      </c>
      <c r="G121" s="116"/>
      <c r="H121" s="84" t="s">
        <v>692</v>
      </c>
      <c r="I121" s="166" t="s">
        <v>376</v>
      </c>
      <c r="J121" s="23"/>
      <c r="K121" s="146" t="s">
        <v>199</v>
      </c>
      <c r="L121" s="166" t="s">
        <v>378</v>
      </c>
      <c r="M121" s="116">
        <v>1968</v>
      </c>
      <c r="N121" s="147" t="s">
        <v>384</v>
      </c>
      <c r="O121" s="116">
        <v>9</v>
      </c>
      <c r="P121" s="116">
        <v>0</v>
      </c>
      <c r="Q121" s="116">
        <v>6</v>
      </c>
      <c r="R121" s="116">
        <v>223</v>
      </c>
      <c r="S121" s="142">
        <v>11256.8</v>
      </c>
      <c r="T121" s="143">
        <f t="shared" si="3"/>
        <v>11256.8</v>
      </c>
      <c r="U121" s="142">
        <v>7409.28</v>
      </c>
      <c r="V121" s="142">
        <f t="shared" si="4"/>
        <v>3847.5199999999995</v>
      </c>
      <c r="W121" s="144" t="s">
        <v>218</v>
      </c>
      <c r="X121" s="145" t="s">
        <v>218</v>
      </c>
      <c r="Y121" s="116" t="s">
        <v>218</v>
      </c>
      <c r="Z121" s="145" t="s">
        <v>218</v>
      </c>
      <c r="AA121" s="116" t="s">
        <v>218</v>
      </c>
      <c r="AB121" s="145" t="str">
        <f t="shared" si="5"/>
        <v>да</v>
      </c>
      <c r="AC121" s="116" t="s">
        <v>219</v>
      </c>
      <c r="AD121" s="116" t="s">
        <v>218</v>
      </c>
      <c r="AE121" s="116" t="s">
        <v>219</v>
      </c>
      <c r="AF121" s="145">
        <v>6</v>
      </c>
      <c r="AG121" s="116">
        <v>2</v>
      </c>
      <c r="AH121" s="132">
        <v>1</v>
      </c>
      <c r="AI121" s="116">
        <v>1</v>
      </c>
      <c r="AJ121" s="116">
        <f>'[1]ТЭ (прил. 2.1)'!AY124</f>
        <v>1</v>
      </c>
      <c r="AK121" s="116">
        <v>0</v>
      </c>
      <c r="AL121" s="81"/>
    </row>
    <row r="122" spans="1:38" s="83" customFormat="1" ht="32.25" customHeight="1" x14ac:dyDescent="0.3">
      <c r="A122" s="114">
        <v>115</v>
      </c>
      <c r="B122" s="87" t="s">
        <v>196</v>
      </c>
      <c r="C122" s="87" t="s">
        <v>385</v>
      </c>
      <c r="D122" s="138" t="s">
        <v>408</v>
      </c>
      <c r="E122" s="116">
        <v>7</v>
      </c>
      <c r="F122" s="116">
        <v>2</v>
      </c>
      <c r="G122" s="116"/>
      <c r="H122" s="84" t="s">
        <v>693</v>
      </c>
      <c r="I122" s="166" t="s">
        <v>376</v>
      </c>
      <c r="J122" s="23"/>
      <c r="K122" s="140" t="s">
        <v>372</v>
      </c>
      <c r="L122" s="166" t="s">
        <v>386</v>
      </c>
      <c r="M122" s="116">
        <v>1968</v>
      </c>
      <c r="N122" s="147" t="s">
        <v>316</v>
      </c>
      <c r="O122" s="116">
        <v>5</v>
      </c>
      <c r="P122" s="116">
        <v>0</v>
      </c>
      <c r="Q122" s="116">
        <v>7</v>
      </c>
      <c r="R122" s="116">
        <v>143</v>
      </c>
      <c r="S122" s="142">
        <v>6876.43</v>
      </c>
      <c r="T122" s="143">
        <f t="shared" si="3"/>
        <v>6876.43</v>
      </c>
      <c r="U122" s="142">
        <v>4595.09</v>
      </c>
      <c r="V122" s="142">
        <f t="shared" si="4"/>
        <v>2281.34</v>
      </c>
      <c r="W122" s="144" t="s">
        <v>218</v>
      </c>
      <c r="X122" s="145" t="s">
        <v>218</v>
      </c>
      <c r="Y122" s="116" t="s">
        <v>218</v>
      </c>
      <c r="Z122" s="145" t="s">
        <v>218</v>
      </c>
      <c r="AA122" s="116" t="s">
        <v>218</v>
      </c>
      <c r="AB122" s="145" t="str">
        <f t="shared" si="5"/>
        <v>да</v>
      </c>
      <c r="AC122" s="116" t="s">
        <v>219</v>
      </c>
      <c r="AD122" s="116" t="s">
        <v>218</v>
      </c>
      <c r="AE122" s="116" t="s">
        <v>219</v>
      </c>
      <c r="AF122" s="145">
        <v>0</v>
      </c>
      <c r="AG122" s="116">
        <v>1</v>
      </c>
      <c r="AH122" s="132">
        <v>1</v>
      </c>
      <c r="AI122" s="116">
        <v>1</v>
      </c>
      <c r="AJ122" s="116">
        <f>'[1]ТЭ (прил. 2.1)'!AY125</f>
        <v>1</v>
      </c>
      <c r="AK122" s="116">
        <v>0</v>
      </c>
      <c r="AL122" s="81"/>
    </row>
    <row r="123" spans="1:38" s="83" customFormat="1" ht="32.25" customHeight="1" x14ac:dyDescent="0.3">
      <c r="A123" s="5">
        <v>116</v>
      </c>
      <c r="B123" s="87" t="s">
        <v>196</v>
      </c>
      <c r="C123" s="87" t="s">
        <v>385</v>
      </c>
      <c r="D123" s="138" t="s">
        <v>408</v>
      </c>
      <c r="E123" s="116">
        <v>7</v>
      </c>
      <c r="F123" s="116">
        <v>3</v>
      </c>
      <c r="G123" s="116"/>
      <c r="H123" s="84" t="s">
        <v>694</v>
      </c>
      <c r="I123" s="166" t="s">
        <v>376</v>
      </c>
      <c r="J123" s="23"/>
      <c r="K123" s="140" t="s">
        <v>372</v>
      </c>
      <c r="L123" s="166" t="s">
        <v>386</v>
      </c>
      <c r="M123" s="116">
        <v>1968</v>
      </c>
      <c r="N123" s="147" t="s">
        <v>303</v>
      </c>
      <c r="O123" s="116">
        <v>5</v>
      </c>
      <c r="P123" s="116">
        <v>0</v>
      </c>
      <c r="Q123" s="116">
        <v>7</v>
      </c>
      <c r="R123" s="116">
        <v>144</v>
      </c>
      <c r="S123" s="142">
        <v>6962.28</v>
      </c>
      <c r="T123" s="143">
        <f t="shared" si="3"/>
        <v>6962.28</v>
      </c>
      <c r="U123" s="142">
        <v>4611.96</v>
      </c>
      <c r="V123" s="142">
        <f t="shared" si="4"/>
        <v>2350.3199999999997</v>
      </c>
      <c r="W123" s="144" t="s">
        <v>218</v>
      </c>
      <c r="X123" s="145" t="s">
        <v>218</v>
      </c>
      <c r="Y123" s="116" t="s">
        <v>218</v>
      </c>
      <c r="Z123" s="145" t="s">
        <v>218</v>
      </c>
      <c r="AA123" s="116" t="s">
        <v>218</v>
      </c>
      <c r="AB123" s="145" t="str">
        <f t="shared" si="5"/>
        <v>да</v>
      </c>
      <c r="AC123" s="116" t="s">
        <v>219</v>
      </c>
      <c r="AD123" s="116" t="s">
        <v>218</v>
      </c>
      <c r="AE123" s="116" t="s">
        <v>219</v>
      </c>
      <c r="AF123" s="145">
        <v>0</v>
      </c>
      <c r="AG123" s="116">
        <v>1</v>
      </c>
      <c r="AH123" s="132">
        <v>1</v>
      </c>
      <c r="AI123" s="116">
        <v>1</v>
      </c>
      <c r="AJ123" s="116">
        <f>'[1]ТЭ (прил. 2.1)'!AY126</f>
        <v>1</v>
      </c>
      <c r="AK123" s="116">
        <v>0</v>
      </c>
      <c r="AL123" s="81"/>
    </row>
    <row r="124" spans="1:38" s="83" customFormat="1" ht="32.25" customHeight="1" x14ac:dyDescent="0.3">
      <c r="A124" s="80">
        <v>117</v>
      </c>
      <c r="B124" s="87" t="s">
        <v>196</v>
      </c>
      <c r="C124" s="87" t="s">
        <v>385</v>
      </c>
      <c r="D124" s="138" t="s">
        <v>408</v>
      </c>
      <c r="E124" s="116">
        <v>9</v>
      </c>
      <c r="F124" s="116">
        <v>1</v>
      </c>
      <c r="G124" s="116"/>
      <c r="H124" s="84" t="s">
        <v>695</v>
      </c>
      <c r="I124" s="166" t="s">
        <v>376</v>
      </c>
      <c r="J124" s="23"/>
      <c r="K124" s="146" t="s">
        <v>199</v>
      </c>
      <c r="L124" s="166" t="s">
        <v>411</v>
      </c>
      <c r="M124" s="116">
        <v>1991</v>
      </c>
      <c r="N124" s="147" t="s">
        <v>380</v>
      </c>
      <c r="O124" s="116">
        <v>10</v>
      </c>
      <c r="P124" s="116">
        <v>0</v>
      </c>
      <c r="Q124" s="116">
        <v>2</v>
      </c>
      <c r="R124" s="116">
        <v>79</v>
      </c>
      <c r="S124" s="142">
        <v>4750.1000000000004</v>
      </c>
      <c r="T124" s="143">
        <f t="shared" si="3"/>
        <v>4750.1000000000004</v>
      </c>
      <c r="U124" s="142">
        <v>2321</v>
      </c>
      <c r="V124" s="142">
        <f t="shared" si="4"/>
        <v>2429.1000000000004</v>
      </c>
      <c r="W124" s="144" t="s">
        <v>218</v>
      </c>
      <c r="X124" s="145" t="s">
        <v>218</v>
      </c>
      <c r="Y124" s="116" t="s">
        <v>218</v>
      </c>
      <c r="Z124" s="145" t="s">
        <v>218</v>
      </c>
      <c r="AA124" s="116" t="s">
        <v>218</v>
      </c>
      <c r="AB124" s="145" t="str">
        <f t="shared" si="5"/>
        <v>да</v>
      </c>
      <c r="AC124" s="116" t="s">
        <v>219</v>
      </c>
      <c r="AD124" s="116" t="s">
        <v>218</v>
      </c>
      <c r="AE124" s="116" t="s">
        <v>219</v>
      </c>
      <c r="AF124" s="145">
        <v>2</v>
      </c>
      <c r="AG124" s="116">
        <v>2</v>
      </c>
      <c r="AH124" s="132">
        <v>1</v>
      </c>
      <c r="AI124" s="116">
        <v>1</v>
      </c>
      <c r="AJ124" s="116">
        <f>'[1]ТЭ (прил. 2.1)'!AY127</f>
        <v>1</v>
      </c>
      <c r="AK124" s="116">
        <v>0</v>
      </c>
      <c r="AL124" s="81"/>
    </row>
    <row r="125" spans="1:38" s="83" customFormat="1" ht="32.25" customHeight="1" x14ac:dyDescent="0.3">
      <c r="A125" s="114">
        <v>118</v>
      </c>
      <c r="B125" s="87" t="s">
        <v>196</v>
      </c>
      <c r="C125" s="87" t="s">
        <v>385</v>
      </c>
      <c r="D125" s="138" t="s">
        <v>408</v>
      </c>
      <c r="E125" s="116">
        <v>9</v>
      </c>
      <c r="F125" s="116">
        <v>2</v>
      </c>
      <c r="G125" s="116"/>
      <c r="H125" s="84" t="s">
        <v>696</v>
      </c>
      <c r="I125" s="166" t="s">
        <v>376</v>
      </c>
      <c r="J125" s="23"/>
      <c r="K125" s="146" t="s">
        <v>199</v>
      </c>
      <c r="L125" s="166" t="s">
        <v>378</v>
      </c>
      <c r="M125" s="116">
        <v>1968</v>
      </c>
      <c r="N125" s="147" t="s">
        <v>380</v>
      </c>
      <c r="O125" s="116">
        <v>9</v>
      </c>
      <c r="P125" s="116">
        <v>0</v>
      </c>
      <c r="Q125" s="116">
        <v>6</v>
      </c>
      <c r="R125" s="116">
        <v>218</v>
      </c>
      <c r="S125" s="142">
        <v>11292.84</v>
      </c>
      <c r="T125" s="143">
        <f t="shared" si="3"/>
        <v>11292.84</v>
      </c>
      <c r="U125" s="142">
        <v>7467.01</v>
      </c>
      <c r="V125" s="142">
        <f t="shared" si="4"/>
        <v>3825.83</v>
      </c>
      <c r="W125" s="144" t="s">
        <v>218</v>
      </c>
      <c r="X125" s="145" t="s">
        <v>218</v>
      </c>
      <c r="Y125" s="116" t="s">
        <v>218</v>
      </c>
      <c r="Z125" s="145" t="s">
        <v>218</v>
      </c>
      <c r="AA125" s="116" t="s">
        <v>218</v>
      </c>
      <c r="AB125" s="145" t="str">
        <f t="shared" si="5"/>
        <v>да</v>
      </c>
      <c r="AC125" s="116" t="s">
        <v>219</v>
      </c>
      <c r="AD125" s="116" t="s">
        <v>218</v>
      </c>
      <c r="AE125" s="116" t="s">
        <v>219</v>
      </c>
      <c r="AF125" s="145">
        <v>6</v>
      </c>
      <c r="AG125" s="116">
        <v>2</v>
      </c>
      <c r="AH125" s="132">
        <v>1</v>
      </c>
      <c r="AI125" s="116">
        <v>1</v>
      </c>
      <c r="AJ125" s="116">
        <f>'[1]ТЭ (прил. 2.1)'!AY128</f>
        <v>1</v>
      </c>
      <c r="AK125" s="116">
        <v>0</v>
      </c>
      <c r="AL125" s="81"/>
    </row>
    <row r="126" spans="1:38" s="83" customFormat="1" ht="32.25" customHeight="1" x14ac:dyDescent="0.3">
      <c r="A126" s="5">
        <v>119</v>
      </c>
      <c r="B126" s="87" t="s">
        <v>196</v>
      </c>
      <c r="C126" s="87" t="s">
        <v>385</v>
      </c>
      <c r="D126" s="138" t="s">
        <v>412</v>
      </c>
      <c r="E126" s="116">
        <v>25</v>
      </c>
      <c r="F126" s="116" t="s">
        <v>245</v>
      </c>
      <c r="G126" s="116"/>
      <c r="H126" s="84" t="s">
        <v>697</v>
      </c>
      <c r="I126" s="166" t="s">
        <v>376</v>
      </c>
      <c r="J126" s="23"/>
      <c r="K126" s="146" t="s">
        <v>303</v>
      </c>
      <c r="L126" s="166" t="s">
        <v>413</v>
      </c>
      <c r="M126" s="116">
        <v>1979</v>
      </c>
      <c r="N126" s="147" t="s">
        <v>414</v>
      </c>
      <c r="O126" s="116" t="s">
        <v>415</v>
      </c>
      <c r="P126" s="116">
        <v>0</v>
      </c>
      <c r="Q126" s="116">
        <v>1</v>
      </c>
      <c r="R126" s="116">
        <v>95</v>
      </c>
      <c r="S126" s="142">
        <v>4635.5</v>
      </c>
      <c r="T126" s="143">
        <f t="shared" si="3"/>
        <v>4635.5</v>
      </c>
      <c r="U126" s="142">
        <v>2607.0000000000005</v>
      </c>
      <c r="V126" s="142">
        <f t="shared" si="4"/>
        <v>2028.4999999999995</v>
      </c>
      <c r="W126" s="144" t="s">
        <v>218</v>
      </c>
      <c r="X126" s="145" t="s">
        <v>218</v>
      </c>
      <c r="Y126" s="116" t="s">
        <v>218</v>
      </c>
      <c r="Z126" s="145" t="s">
        <v>218</v>
      </c>
      <c r="AA126" s="116" t="s">
        <v>218</v>
      </c>
      <c r="AB126" s="145" t="str">
        <f t="shared" si="5"/>
        <v>да</v>
      </c>
      <c r="AC126" s="116" t="s">
        <v>219</v>
      </c>
      <c r="AD126" s="116" t="s">
        <v>218</v>
      </c>
      <c r="AE126" s="116" t="s">
        <v>219</v>
      </c>
      <c r="AF126" s="145">
        <v>2</v>
      </c>
      <c r="AG126" s="116">
        <v>0</v>
      </c>
      <c r="AH126" s="132">
        <v>1</v>
      </c>
      <c r="AI126" s="116">
        <v>1</v>
      </c>
      <c r="AJ126" s="116">
        <f>'[1]ТЭ (прил. 2.1)'!AY129</f>
        <v>1</v>
      </c>
      <c r="AK126" s="116">
        <v>0</v>
      </c>
      <c r="AL126" s="81"/>
    </row>
    <row r="127" spans="1:38" s="83" customFormat="1" ht="32.25" customHeight="1" x14ac:dyDescent="0.3">
      <c r="A127" s="80">
        <v>120</v>
      </c>
      <c r="B127" s="87" t="s">
        <v>196</v>
      </c>
      <c r="C127" s="87" t="s">
        <v>385</v>
      </c>
      <c r="D127" s="138" t="s">
        <v>412</v>
      </c>
      <c r="E127" s="116">
        <v>29</v>
      </c>
      <c r="F127" s="116" t="s">
        <v>245</v>
      </c>
      <c r="G127" s="116"/>
      <c r="H127" s="84" t="s">
        <v>698</v>
      </c>
      <c r="I127" s="166" t="s">
        <v>376</v>
      </c>
      <c r="J127" s="23" t="s">
        <v>308</v>
      </c>
      <c r="K127" s="146"/>
      <c r="L127" s="166"/>
      <c r="M127" s="116"/>
      <c r="N127" s="147"/>
      <c r="O127" s="116"/>
      <c r="P127" s="116"/>
      <c r="Q127" s="116"/>
      <c r="R127" s="116"/>
      <c r="S127" s="142"/>
      <c r="T127" s="143"/>
      <c r="U127" s="142"/>
      <c r="V127" s="142"/>
      <c r="W127" s="144"/>
      <c r="X127" s="145"/>
      <c r="Y127" s="116"/>
      <c r="Z127" s="145"/>
      <c r="AA127" s="116"/>
      <c r="AB127" s="145"/>
      <c r="AC127" s="116"/>
      <c r="AD127" s="116"/>
      <c r="AE127" s="116"/>
      <c r="AF127" s="145"/>
      <c r="AG127" s="116"/>
      <c r="AH127" s="132"/>
      <c r="AI127" s="116"/>
      <c r="AJ127" s="116"/>
      <c r="AK127" s="116"/>
      <c r="AL127" s="81"/>
    </row>
    <row r="128" spans="1:38" s="83" customFormat="1" ht="32.25" customHeight="1" x14ac:dyDescent="0.3">
      <c r="A128" s="114">
        <v>121</v>
      </c>
      <c r="B128" s="87" t="s">
        <v>196</v>
      </c>
      <c r="C128" s="87" t="s">
        <v>388</v>
      </c>
      <c r="D128" s="138" t="s">
        <v>412</v>
      </c>
      <c r="E128" s="116">
        <v>35</v>
      </c>
      <c r="F128" s="116">
        <v>2</v>
      </c>
      <c r="G128" s="116"/>
      <c r="H128" s="84" t="s">
        <v>699</v>
      </c>
      <c r="I128" s="166" t="s">
        <v>376</v>
      </c>
      <c r="J128" s="23"/>
      <c r="K128" s="146" t="s">
        <v>199</v>
      </c>
      <c r="L128" s="166" t="s">
        <v>378</v>
      </c>
      <c r="M128" s="116">
        <v>1967</v>
      </c>
      <c r="N128" s="147" t="s">
        <v>384</v>
      </c>
      <c r="O128" s="116">
        <v>9</v>
      </c>
      <c r="P128" s="116">
        <v>0</v>
      </c>
      <c r="Q128" s="116">
        <v>6</v>
      </c>
      <c r="R128" s="116">
        <v>218</v>
      </c>
      <c r="S128" s="142">
        <v>11290.53</v>
      </c>
      <c r="T128" s="143">
        <f t="shared" si="3"/>
        <v>11290.53</v>
      </c>
      <c r="U128" s="142">
        <v>7393.01</v>
      </c>
      <c r="V128" s="142">
        <f t="shared" si="4"/>
        <v>3897.5200000000004</v>
      </c>
      <c r="W128" s="144" t="s">
        <v>218</v>
      </c>
      <c r="X128" s="145" t="s">
        <v>218</v>
      </c>
      <c r="Y128" s="116" t="s">
        <v>218</v>
      </c>
      <c r="Z128" s="145" t="s">
        <v>218</v>
      </c>
      <c r="AA128" s="116" t="s">
        <v>218</v>
      </c>
      <c r="AB128" s="145" t="str">
        <f t="shared" si="5"/>
        <v>да</v>
      </c>
      <c r="AC128" s="116" t="s">
        <v>219</v>
      </c>
      <c r="AD128" s="116" t="s">
        <v>218</v>
      </c>
      <c r="AE128" s="116" t="s">
        <v>219</v>
      </c>
      <c r="AF128" s="145">
        <v>6</v>
      </c>
      <c r="AG128" s="116">
        <v>2</v>
      </c>
      <c r="AH128" s="132">
        <v>1</v>
      </c>
      <c r="AI128" s="116">
        <v>1</v>
      </c>
      <c r="AJ128" s="116">
        <f>'[1]ТЭ (прил. 2.1)'!AY131</f>
        <v>1</v>
      </c>
      <c r="AK128" s="116">
        <v>0</v>
      </c>
      <c r="AL128" s="81"/>
    </row>
    <row r="129" spans="1:38" s="83" customFormat="1" ht="32.25" customHeight="1" x14ac:dyDescent="0.3">
      <c r="A129" s="5">
        <v>122</v>
      </c>
      <c r="B129" s="87" t="s">
        <v>196</v>
      </c>
      <c r="C129" s="87" t="s">
        <v>388</v>
      </c>
      <c r="D129" s="138" t="s">
        <v>412</v>
      </c>
      <c r="E129" s="116">
        <v>35</v>
      </c>
      <c r="F129" s="116">
        <v>8</v>
      </c>
      <c r="G129" s="116"/>
      <c r="H129" s="84" t="s">
        <v>700</v>
      </c>
      <c r="I129" s="166" t="s">
        <v>376</v>
      </c>
      <c r="J129" s="23"/>
      <c r="K129" s="146" t="s">
        <v>199</v>
      </c>
      <c r="L129" s="166" t="s">
        <v>378</v>
      </c>
      <c r="M129" s="116">
        <v>1967</v>
      </c>
      <c r="N129" s="147" t="s">
        <v>384</v>
      </c>
      <c r="O129" s="116">
        <v>9</v>
      </c>
      <c r="P129" s="116">
        <v>0</v>
      </c>
      <c r="Q129" s="116">
        <v>6</v>
      </c>
      <c r="R129" s="116">
        <v>219</v>
      </c>
      <c r="S129" s="142">
        <v>11232.21</v>
      </c>
      <c r="T129" s="143">
        <f t="shared" si="3"/>
        <v>11232.21</v>
      </c>
      <c r="U129" s="142">
        <v>7415.82</v>
      </c>
      <c r="V129" s="142">
        <f t="shared" si="4"/>
        <v>3816.3899999999994</v>
      </c>
      <c r="W129" s="144" t="s">
        <v>218</v>
      </c>
      <c r="X129" s="145" t="s">
        <v>218</v>
      </c>
      <c r="Y129" s="116" t="s">
        <v>218</v>
      </c>
      <c r="Z129" s="145" t="s">
        <v>218</v>
      </c>
      <c r="AA129" s="116" t="s">
        <v>218</v>
      </c>
      <c r="AB129" s="145" t="str">
        <f t="shared" si="5"/>
        <v>да</v>
      </c>
      <c r="AC129" s="116" t="s">
        <v>219</v>
      </c>
      <c r="AD129" s="116" t="s">
        <v>218</v>
      </c>
      <c r="AE129" s="116" t="s">
        <v>219</v>
      </c>
      <c r="AF129" s="145">
        <v>6</v>
      </c>
      <c r="AG129" s="116">
        <v>2</v>
      </c>
      <c r="AH129" s="132">
        <v>1</v>
      </c>
      <c r="AI129" s="116">
        <v>1</v>
      </c>
      <c r="AJ129" s="116">
        <f>'[1]ТЭ (прил. 2.1)'!AY132</f>
        <v>1</v>
      </c>
      <c r="AK129" s="116">
        <v>0</v>
      </c>
      <c r="AL129" s="81"/>
    </row>
    <row r="130" spans="1:38" s="83" customFormat="1" ht="32.25" customHeight="1" x14ac:dyDescent="0.3">
      <c r="A130" s="80">
        <v>123</v>
      </c>
      <c r="B130" s="87" t="s">
        <v>196</v>
      </c>
      <c r="C130" s="87" t="s">
        <v>388</v>
      </c>
      <c r="D130" s="138" t="s">
        <v>412</v>
      </c>
      <c r="E130" s="116">
        <v>37</v>
      </c>
      <c r="F130" s="116">
        <v>1</v>
      </c>
      <c r="G130" s="116"/>
      <c r="H130" s="84" t="s">
        <v>701</v>
      </c>
      <c r="I130" s="166" t="s">
        <v>376</v>
      </c>
      <c r="J130" s="23"/>
      <c r="K130" s="146" t="s">
        <v>199</v>
      </c>
      <c r="L130" s="166" t="s">
        <v>378</v>
      </c>
      <c r="M130" s="116">
        <v>1967</v>
      </c>
      <c r="N130" s="147" t="s">
        <v>380</v>
      </c>
      <c r="O130" s="116">
        <v>9</v>
      </c>
      <c r="P130" s="116">
        <v>0</v>
      </c>
      <c r="Q130" s="116">
        <v>6</v>
      </c>
      <c r="R130" s="116">
        <v>220</v>
      </c>
      <c r="S130" s="142">
        <v>11264.42</v>
      </c>
      <c r="T130" s="143">
        <f t="shared" si="3"/>
        <v>11264.42</v>
      </c>
      <c r="U130" s="142">
        <v>7396.39</v>
      </c>
      <c r="V130" s="142">
        <f t="shared" si="4"/>
        <v>3868.0299999999997</v>
      </c>
      <c r="W130" s="144" t="s">
        <v>218</v>
      </c>
      <c r="X130" s="145" t="s">
        <v>218</v>
      </c>
      <c r="Y130" s="116" t="s">
        <v>218</v>
      </c>
      <c r="Z130" s="145" t="s">
        <v>218</v>
      </c>
      <c r="AA130" s="116" t="s">
        <v>218</v>
      </c>
      <c r="AB130" s="145" t="str">
        <f t="shared" si="5"/>
        <v>да</v>
      </c>
      <c r="AC130" s="116" t="s">
        <v>219</v>
      </c>
      <c r="AD130" s="116" t="s">
        <v>218</v>
      </c>
      <c r="AE130" s="116" t="s">
        <v>219</v>
      </c>
      <c r="AF130" s="145">
        <v>6</v>
      </c>
      <c r="AG130" s="116">
        <v>2</v>
      </c>
      <c r="AH130" s="132">
        <v>1</v>
      </c>
      <c r="AI130" s="116">
        <v>1</v>
      </c>
      <c r="AJ130" s="116">
        <f>'[1]ТЭ (прил. 2.1)'!AY133</f>
        <v>2</v>
      </c>
      <c r="AK130" s="116">
        <v>0</v>
      </c>
      <c r="AL130" s="81"/>
    </row>
    <row r="131" spans="1:38" s="83" customFormat="1" ht="32.25" customHeight="1" x14ac:dyDescent="0.3">
      <c r="A131" s="114">
        <v>124</v>
      </c>
      <c r="B131" s="87" t="s">
        <v>196</v>
      </c>
      <c r="C131" s="87" t="s">
        <v>388</v>
      </c>
      <c r="D131" s="138" t="s">
        <v>412</v>
      </c>
      <c r="E131" s="116">
        <v>37</v>
      </c>
      <c r="F131" s="116">
        <v>4</v>
      </c>
      <c r="G131" s="116"/>
      <c r="H131" s="84" t="s">
        <v>702</v>
      </c>
      <c r="I131" s="166" t="s">
        <v>376</v>
      </c>
      <c r="J131" s="23"/>
      <c r="K131" s="146" t="s">
        <v>303</v>
      </c>
      <c r="L131" s="166" t="s">
        <v>368</v>
      </c>
      <c r="M131" s="116">
        <v>1965</v>
      </c>
      <c r="N131" s="147" t="s">
        <v>377</v>
      </c>
      <c r="O131" s="116">
        <v>9</v>
      </c>
      <c r="P131" s="116">
        <v>0</v>
      </c>
      <c r="Q131" s="116">
        <v>1</v>
      </c>
      <c r="R131" s="116">
        <v>46</v>
      </c>
      <c r="S131" s="142">
        <v>2076</v>
      </c>
      <c r="T131" s="143">
        <f t="shared" si="3"/>
        <v>2076</v>
      </c>
      <c r="U131" s="142">
        <v>1254.9000000000001</v>
      </c>
      <c r="V131" s="142">
        <f t="shared" si="4"/>
        <v>821.09999999999991</v>
      </c>
      <c r="W131" s="144" t="s">
        <v>218</v>
      </c>
      <c r="X131" s="145" t="s">
        <v>218</v>
      </c>
      <c r="Y131" s="116" t="s">
        <v>218</v>
      </c>
      <c r="Z131" s="145" t="s">
        <v>218</v>
      </c>
      <c r="AA131" s="116" t="s">
        <v>218</v>
      </c>
      <c r="AB131" s="145" t="str">
        <f t="shared" si="5"/>
        <v>да</v>
      </c>
      <c r="AC131" s="116" t="s">
        <v>219</v>
      </c>
      <c r="AD131" s="116" t="s">
        <v>218</v>
      </c>
      <c r="AE131" s="116" t="s">
        <v>219</v>
      </c>
      <c r="AF131" s="145">
        <v>1</v>
      </c>
      <c r="AG131" s="116">
        <v>2</v>
      </c>
      <c r="AH131" s="132">
        <v>1</v>
      </c>
      <c r="AI131" s="116">
        <v>1</v>
      </c>
      <c r="AJ131" s="116">
        <f>'[1]ТЭ (прил. 2.1)'!AY134</f>
        <v>1</v>
      </c>
      <c r="AK131" s="116">
        <v>0</v>
      </c>
      <c r="AL131" s="81"/>
    </row>
    <row r="132" spans="1:38" s="83" customFormat="1" ht="32.25" customHeight="1" x14ac:dyDescent="0.3">
      <c r="A132" s="5">
        <v>125</v>
      </c>
      <c r="B132" s="87" t="s">
        <v>196</v>
      </c>
      <c r="C132" s="87" t="s">
        <v>388</v>
      </c>
      <c r="D132" s="138" t="s">
        <v>412</v>
      </c>
      <c r="E132" s="116">
        <v>38</v>
      </c>
      <c r="F132" s="116">
        <v>2</v>
      </c>
      <c r="G132" s="116"/>
      <c r="H132" s="84" t="s">
        <v>703</v>
      </c>
      <c r="I132" s="166" t="s">
        <v>376</v>
      </c>
      <c r="J132" s="23"/>
      <c r="K132" s="146" t="s">
        <v>199</v>
      </c>
      <c r="L132" s="166" t="s">
        <v>319</v>
      </c>
      <c r="M132" s="116">
        <v>2009</v>
      </c>
      <c r="N132" s="147" t="s">
        <v>380</v>
      </c>
      <c r="O132" s="116">
        <v>15</v>
      </c>
      <c r="P132" s="116">
        <v>0</v>
      </c>
      <c r="Q132" s="116">
        <v>4</v>
      </c>
      <c r="R132" s="116">
        <v>348</v>
      </c>
      <c r="S132" s="142">
        <v>21462.1</v>
      </c>
      <c r="T132" s="143">
        <f t="shared" si="3"/>
        <v>21462.1</v>
      </c>
      <c r="U132" s="142">
        <v>10852</v>
      </c>
      <c r="V132" s="142">
        <f t="shared" si="4"/>
        <v>10610.099999999999</v>
      </c>
      <c r="W132" s="144" t="s">
        <v>218</v>
      </c>
      <c r="X132" s="145" t="s">
        <v>218</v>
      </c>
      <c r="Y132" s="116" t="s">
        <v>218</v>
      </c>
      <c r="Z132" s="145" t="s">
        <v>218</v>
      </c>
      <c r="AA132" s="116" t="s">
        <v>218</v>
      </c>
      <c r="AB132" s="145" t="str">
        <f t="shared" si="5"/>
        <v>нет</v>
      </c>
      <c r="AC132" s="116" t="s">
        <v>219</v>
      </c>
      <c r="AD132" s="116" t="s">
        <v>219</v>
      </c>
      <c r="AE132" s="116" t="s">
        <v>218</v>
      </c>
      <c r="AF132" s="145">
        <v>0</v>
      </c>
      <c r="AG132" s="116">
        <v>4</v>
      </c>
      <c r="AH132" s="132">
        <v>2</v>
      </c>
      <c r="AI132" s="116">
        <v>1</v>
      </c>
      <c r="AJ132" s="116">
        <f>'[1]ТЭ (прил. 2.1)'!AY135</f>
        <v>1</v>
      </c>
      <c r="AK132" s="116">
        <v>0</v>
      </c>
      <c r="AL132" s="81"/>
    </row>
    <row r="133" spans="1:38" s="83" customFormat="1" ht="32.25" customHeight="1" x14ac:dyDescent="0.3">
      <c r="A133" s="80">
        <v>126</v>
      </c>
      <c r="B133" s="87" t="s">
        <v>196</v>
      </c>
      <c r="C133" s="87" t="s">
        <v>388</v>
      </c>
      <c r="D133" s="138" t="s">
        <v>412</v>
      </c>
      <c r="E133" s="116">
        <v>39</v>
      </c>
      <c r="F133" s="116">
        <v>3</v>
      </c>
      <c r="G133" s="116"/>
      <c r="H133" s="84" t="s">
        <v>704</v>
      </c>
      <c r="I133" s="166" t="s">
        <v>376</v>
      </c>
      <c r="J133" s="23" t="s">
        <v>308</v>
      </c>
      <c r="K133" s="140"/>
      <c r="L133" s="166"/>
      <c r="M133" s="116"/>
      <c r="N133" s="147"/>
      <c r="O133" s="116"/>
      <c r="P133" s="116"/>
      <c r="Q133" s="116"/>
      <c r="R133" s="116"/>
      <c r="S133" s="142"/>
      <c r="T133" s="143"/>
      <c r="U133" s="142"/>
      <c r="V133" s="142"/>
      <c r="W133" s="144"/>
      <c r="X133" s="145"/>
      <c r="Y133" s="116"/>
      <c r="Z133" s="145"/>
      <c r="AA133" s="116"/>
      <c r="AB133" s="145"/>
      <c r="AC133" s="116"/>
      <c r="AD133" s="116"/>
      <c r="AE133" s="116"/>
      <c r="AF133" s="145"/>
      <c r="AG133" s="116"/>
      <c r="AH133" s="132"/>
      <c r="AI133" s="116"/>
      <c r="AJ133" s="116"/>
      <c r="AK133" s="116"/>
      <c r="AL133" s="81"/>
    </row>
    <row r="134" spans="1:38" s="83" customFormat="1" ht="32.25" customHeight="1" x14ac:dyDescent="0.3">
      <c r="A134" s="114">
        <v>127</v>
      </c>
      <c r="B134" s="87" t="s">
        <v>196</v>
      </c>
      <c r="C134" s="87" t="s">
        <v>388</v>
      </c>
      <c r="D134" s="138" t="s">
        <v>412</v>
      </c>
      <c r="E134" s="116">
        <v>41</v>
      </c>
      <c r="F134" s="116">
        <v>2</v>
      </c>
      <c r="G134" s="116"/>
      <c r="H134" s="84" t="s">
        <v>705</v>
      </c>
      <c r="I134" s="166" t="s">
        <v>376</v>
      </c>
      <c r="J134" s="23"/>
      <c r="K134" s="146" t="s">
        <v>199</v>
      </c>
      <c r="L134" s="166" t="s">
        <v>378</v>
      </c>
      <c r="M134" s="116">
        <v>1967</v>
      </c>
      <c r="N134" s="147" t="s">
        <v>303</v>
      </c>
      <c r="O134" s="116">
        <v>9</v>
      </c>
      <c r="P134" s="116">
        <v>0</v>
      </c>
      <c r="Q134" s="116">
        <v>6</v>
      </c>
      <c r="R134" s="116">
        <v>220</v>
      </c>
      <c r="S134" s="142">
        <v>11212.1</v>
      </c>
      <c r="T134" s="143">
        <f t="shared" si="3"/>
        <v>11212.1</v>
      </c>
      <c r="U134" s="142">
        <v>7397.17</v>
      </c>
      <c r="V134" s="142">
        <f t="shared" si="4"/>
        <v>3814.9300000000003</v>
      </c>
      <c r="W134" s="144" t="s">
        <v>218</v>
      </c>
      <c r="X134" s="145" t="s">
        <v>218</v>
      </c>
      <c r="Y134" s="116" t="s">
        <v>218</v>
      </c>
      <c r="Z134" s="145" t="s">
        <v>218</v>
      </c>
      <c r="AA134" s="116" t="s">
        <v>218</v>
      </c>
      <c r="AB134" s="145" t="str">
        <f t="shared" si="5"/>
        <v>да</v>
      </c>
      <c r="AC134" s="116" t="s">
        <v>219</v>
      </c>
      <c r="AD134" s="116" t="s">
        <v>218</v>
      </c>
      <c r="AE134" s="116" t="s">
        <v>219</v>
      </c>
      <c r="AF134" s="145">
        <v>6</v>
      </c>
      <c r="AG134" s="116">
        <v>2</v>
      </c>
      <c r="AH134" s="132">
        <v>1</v>
      </c>
      <c r="AI134" s="116">
        <v>1</v>
      </c>
      <c r="AJ134" s="116">
        <f>'[1]ТЭ (прил. 2.1)'!AY137</f>
        <v>1</v>
      </c>
      <c r="AK134" s="116">
        <v>0</v>
      </c>
      <c r="AL134" s="81"/>
    </row>
    <row r="135" spans="1:38" s="83" customFormat="1" ht="32.25" customHeight="1" x14ac:dyDescent="0.3">
      <c r="A135" s="5">
        <v>128</v>
      </c>
      <c r="B135" s="87" t="s">
        <v>196</v>
      </c>
      <c r="C135" s="87" t="s">
        <v>388</v>
      </c>
      <c r="D135" s="138" t="s">
        <v>412</v>
      </c>
      <c r="E135" s="116">
        <v>43</v>
      </c>
      <c r="F135" s="116">
        <v>1</v>
      </c>
      <c r="G135" s="116"/>
      <c r="H135" s="84" t="s">
        <v>706</v>
      </c>
      <c r="I135" s="166" t="s">
        <v>376</v>
      </c>
      <c r="J135" s="23"/>
      <c r="K135" s="146" t="s">
        <v>199</v>
      </c>
      <c r="L135" s="166" t="s">
        <v>378</v>
      </c>
      <c r="M135" s="116">
        <v>1967</v>
      </c>
      <c r="N135" s="147" t="s">
        <v>384</v>
      </c>
      <c r="O135" s="116">
        <v>9</v>
      </c>
      <c r="P135" s="116">
        <v>0</v>
      </c>
      <c r="Q135" s="116">
        <v>6</v>
      </c>
      <c r="R135" s="116">
        <v>221</v>
      </c>
      <c r="S135" s="142">
        <v>11211.22</v>
      </c>
      <c r="T135" s="143">
        <f t="shared" si="3"/>
        <v>11211.22</v>
      </c>
      <c r="U135" s="142">
        <v>7362.62</v>
      </c>
      <c r="V135" s="142">
        <f t="shared" si="4"/>
        <v>3848.5999999999995</v>
      </c>
      <c r="W135" s="144" t="s">
        <v>218</v>
      </c>
      <c r="X135" s="145" t="s">
        <v>218</v>
      </c>
      <c r="Y135" s="116" t="s">
        <v>218</v>
      </c>
      <c r="Z135" s="145" t="s">
        <v>218</v>
      </c>
      <c r="AA135" s="116" t="s">
        <v>218</v>
      </c>
      <c r="AB135" s="145" t="str">
        <f t="shared" si="5"/>
        <v>да</v>
      </c>
      <c r="AC135" s="116" t="s">
        <v>219</v>
      </c>
      <c r="AD135" s="116" t="s">
        <v>218</v>
      </c>
      <c r="AE135" s="116" t="s">
        <v>219</v>
      </c>
      <c r="AF135" s="145">
        <v>6</v>
      </c>
      <c r="AG135" s="116">
        <v>0</v>
      </c>
      <c r="AH135" s="132">
        <v>1</v>
      </c>
      <c r="AI135" s="116">
        <v>1</v>
      </c>
      <c r="AJ135" s="116">
        <f>'[1]ТЭ (прил. 2.1)'!AY138</f>
        <v>1</v>
      </c>
      <c r="AK135" s="116">
        <v>0</v>
      </c>
      <c r="AL135" s="81"/>
    </row>
    <row r="136" spans="1:38" s="83" customFormat="1" ht="32.25" customHeight="1" x14ac:dyDescent="0.3">
      <c r="A136" s="80">
        <v>129</v>
      </c>
      <c r="B136" s="87" t="s">
        <v>196</v>
      </c>
      <c r="C136" s="87" t="s">
        <v>388</v>
      </c>
      <c r="D136" s="138" t="s">
        <v>412</v>
      </c>
      <c r="E136" s="116">
        <v>43</v>
      </c>
      <c r="F136" s="116">
        <v>4</v>
      </c>
      <c r="G136" s="116"/>
      <c r="H136" s="84" t="s">
        <v>707</v>
      </c>
      <c r="I136" s="166" t="s">
        <v>376</v>
      </c>
      <c r="J136" s="23" t="s">
        <v>308</v>
      </c>
      <c r="K136" s="140"/>
      <c r="L136" s="166"/>
      <c r="M136" s="116"/>
      <c r="N136" s="147"/>
      <c r="O136" s="116"/>
      <c r="P136" s="116"/>
      <c r="Q136" s="116"/>
      <c r="R136" s="116"/>
      <c r="S136" s="142"/>
      <c r="T136" s="143"/>
      <c r="U136" s="142"/>
      <c r="V136" s="142"/>
      <c r="W136" s="144"/>
      <c r="X136" s="145"/>
      <c r="Y136" s="116"/>
      <c r="Z136" s="145"/>
      <c r="AA136" s="116"/>
      <c r="AB136" s="145"/>
      <c r="AC136" s="116"/>
      <c r="AD136" s="116"/>
      <c r="AE136" s="116"/>
      <c r="AF136" s="145"/>
      <c r="AG136" s="116"/>
      <c r="AH136" s="132"/>
      <c r="AI136" s="116"/>
      <c r="AJ136" s="116"/>
      <c r="AK136" s="116"/>
      <c r="AL136" s="81"/>
    </row>
    <row r="137" spans="1:38" s="83" customFormat="1" ht="32.25" customHeight="1" x14ac:dyDescent="0.3">
      <c r="A137" s="114">
        <v>130</v>
      </c>
      <c r="B137" s="87" t="s">
        <v>196</v>
      </c>
      <c r="C137" s="87" t="s">
        <v>388</v>
      </c>
      <c r="D137" s="138" t="s">
        <v>412</v>
      </c>
      <c r="E137" s="116">
        <v>45</v>
      </c>
      <c r="F137" s="116">
        <v>1</v>
      </c>
      <c r="G137" s="116"/>
      <c r="H137" s="84" t="s">
        <v>708</v>
      </c>
      <c r="I137" s="166" t="s">
        <v>376</v>
      </c>
      <c r="J137" s="23" t="s">
        <v>308</v>
      </c>
      <c r="K137" s="140"/>
      <c r="L137" s="166"/>
      <c r="M137" s="116"/>
      <c r="N137" s="147"/>
      <c r="O137" s="116"/>
      <c r="P137" s="116"/>
      <c r="Q137" s="116"/>
      <c r="R137" s="116"/>
      <c r="S137" s="142"/>
      <c r="T137" s="143"/>
      <c r="U137" s="142"/>
      <c r="V137" s="142"/>
      <c r="W137" s="144"/>
      <c r="X137" s="145"/>
      <c r="Y137" s="116"/>
      <c r="Z137" s="145"/>
      <c r="AA137" s="116"/>
      <c r="AB137" s="145"/>
      <c r="AC137" s="116"/>
      <c r="AD137" s="116"/>
      <c r="AE137" s="116"/>
      <c r="AF137" s="145"/>
      <c r="AG137" s="116"/>
      <c r="AH137" s="132"/>
      <c r="AI137" s="116"/>
      <c r="AJ137" s="116"/>
      <c r="AK137" s="116"/>
      <c r="AL137" s="81"/>
    </row>
    <row r="138" spans="1:38" s="83" customFormat="1" ht="32.25" customHeight="1" x14ac:dyDescent="0.3">
      <c r="A138" s="5">
        <v>131</v>
      </c>
      <c r="B138" s="87" t="s">
        <v>196</v>
      </c>
      <c r="C138" s="87" t="s">
        <v>388</v>
      </c>
      <c r="D138" s="138" t="s">
        <v>412</v>
      </c>
      <c r="E138" s="116">
        <v>45</v>
      </c>
      <c r="F138" s="116">
        <v>2</v>
      </c>
      <c r="G138" s="116"/>
      <c r="H138" s="84" t="s">
        <v>709</v>
      </c>
      <c r="I138" s="166" t="s">
        <v>376</v>
      </c>
      <c r="J138" s="23" t="s">
        <v>308</v>
      </c>
      <c r="K138" s="146"/>
      <c r="L138" s="166"/>
      <c r="M138" s="116"/>
      <c r="N138" s="147"/>
      <c r="O138" s="116"/>
      <c r="P138" s="116"/>
      <c r="Q138" s="116"/>
      <c r="R138" s="116"/>
      <c r="S138" s="142"/>
      <c r="T138" s="143"/>
      <c r="U138" s="142"/>
      <c r="V138" s="142"/>
      <c r="W138" s="144"/>
      <c r="X138" s="145"/>
      <c r="Y138" s="116"/>
      <c r="Z138" s="145"/>
      <c r="AA138" s="116"/>
      <c r="AB138" s="145"/>
      <c r="AC138" s="116"/>
      <c r="AD138" s="116"/>
      <c r="AE138" s="116"/>
      <c r="AF138" s="145"/>
      <c r="AG138" s="116"/>
      <c r="AH138" s="132"/>
      <c r="AI138" s="116"/>
      <c r="AJ138" s="116"/>
      <c r="AK138" s="116"/>
      <c r="AL138" s="81"/>
    </row>
    <row r="139" spans="1:38" s="83" customFormat="1" ht="32.25" customHeight="1" x14ac:dyDescent="0.3">
      <c r="A139" s="80">
        <v>132</v>
      </c>
      <c r="B139" s="87" t="s">
        <v>196</v>
      </c>
      <c r="C139" s="87" t="s">
        <v>388</v>
      </c>
      <c r="D139" s="138" t="s">
        <v>412</v>
      </c>
      <c r="E139" s="116">
        <v>53</v>
      </c>
      <c r="F139" s="116" t="s">
        <v>245</v>
      </c>
      <c r="G139" s="116"/>
      <c r="H139" s="84" t="s">
        <v>710</v>
      </c>
      <c r="I139" s="166" t="s">
        <v>376</v>
      </c>
      <c r="J139" s="23"/>
      <c r="K139" s="146" t="s">
        <v>199</v>
      </c>
      <c r="L139" s="166" t="s">
        <v>378</v>
      </c>
      <c r="M139" s="116">
        <v>1967</v>
      </c>
      <c r="N139" s="147" t="s">
        <v>303</v>
      </c>
      <c r="O139" s="116">
        <v>9</v>
      </c>
      <c r="P139" s="116">
        <v>0</v>
      </c>
      <c r="Q139" s="116">
        <v>6</v>
      </c>
      <c r="R139" s="116">
        <v>223</v>
      </c>
      <c r="S139" s="142">
        <v>11343.71</v>
      </c>
      <c r="T139" s="143">
        <f t="shared" si="3"/>
        <v>11343.71</v>
      </c>
      <c r="U139" s="142">
        <v>7418.4</v>
      </c>
      <c r="V139" s="142">
        <f t="shared" si="4"/>
        <v>3925.3099999999995</v>
      </c>
      <c r="W139" s="144" t="s">
        <v>218</v>
      </c>
      <c r="X139" s="145" t="s">
        <v>218</v>
      </c>
      <c r="Y139" s="116" t="s">
        <v>218</v>
      </c>
      <c r="Z139" s="145" t="s">
        <v>218</v>
      </c>
      <c r="AA139" s="116" t="s">
        <v>218</v>
      </c>
      <c r="AB139" s="145" t="str">
        <f t="shared" si="5"/>
        <v>да</v>
      </c>
      <c r="AC139" s="116" t="s">
        <v>219</v>
      </c>
      <c r="AD139" s="116" t="s">
        <v>218</v>
      </c>
      <c r="AE139" s="116" t="s">
        <v>219</v>
      </c>
      <c r="AF139" s="145">
        <v>6</v>
      </c>
      <c r="AG139" s="116">
        <v>2</v>
      </c>
      <c r="AH139" s="132">
        <v>1</v>
      </c>
      <c r="AI139" s="116">
        <v>1</v>
      </c>
      <c r="AJ139" s="116">
        <f>'[1]ТЭ (прил. 2.1)'!AY142</f>
        <v>5</v>
      </c>
      <c r="AK139" s="116">
        <v>0</v>
      </c>
      <c r="AL139" s="81"/>
    </row>
    <row r="140" spans="1:38" s="83" customFormat="1" ht="32.25" customHeight="1" x14ac:dyDescent="0.3">
      <c r="A140" s="114">
        <v>133</v>
      </c>
      <c r="B140" s="87" t="s">
        <v>196</v>
      </c>
      <c r="C140" s="87" t="s">
        <v>385</v>
      </c>
      <c r="D140" s="138" t="s">
        <v>416</v>
      </c>
      <c r="E140" s="116">
        <v>10</v>
      </c>
      <c r="F140" s="116" t="s">
        <v>245</v>
      </c>
      <c r="G140" s="116"/>
      <c r="H140" s="84" t="s">
        <v>711</v>
      </c>
      <c r="I140" s="166" t="s">
        <v>376</v>
      </c>
      <c r="J140" s="23" t="s">
        <v>308</v>
      </c>
      <c r="K140" s="140"/>
      <c r="L140" s="166"/>
      <c r="M140" s="116"/>
      <c r="N140" s="147"/>
      <c r="O140" s="116"/>
      <c r="P140" s="116"/>
      <c r="Q140" s="116"/>
      <c r="R140" s="116"/>
      <c r="S140" s="142"/>
      <c r="T140" s="143"/>
      <c r="U140" s="142"/>
      <c r="V140" s="142"/>
      <c r="W140" s="144"/>
      <c r="X140" s="145"/>
      <c r="Y140" s="116"/>
      <c r="Z140" s="145"/>
      <c r="AA140" s="116"/>
      <c r="AB140" s="145"/>
      <c r="AC140" s="116"/>
      <c r="AD140" s="116"/>
      <c r="AE140" s="116"/>
      <c r="AF140" s="145"/>
      <c r="AG140" s="116"/>
      <c r="AH140" s="132"/>
      <c r="AI140" s="116"/>
      <c r="AJ140" s="116"/>
      <c r="AK140" s="116"/>
      <c r="AL140" s="81"/>
    </row>
    <row r="141" spans="1:38" s="83" customFormat="1" ht="32.25" customHeight="1" x14ac:dyDescent="0.3">
      <c r="A141" s="5">
        <v>134</v>
      </c>
      <c r="B141" s="87" t="s">
        <v>196</v>
      </c>
      <c r="C141" s="87" t="s">
        <v>388</v>
      </c>
      <c r="D141" s="138" t="s">
        <v>416</v>
      </c>
      <c r="E141" s="116">
        <v>11</v>
      </c>
      <c r="F141" s="116">
        <v>2</v>
      </c>
      <c r="G141" s="116"/>
      <c r="H141" s="84" t="s">
        <v>712</v>
      </c>
      <c r="I141" s="166" t="s">
        <v>247</v>
      </c>
      <c r="J141" s="23"/>
      <c r="K141" s="146" t="s">
        <v>303</v>
      </c>
      <c r="L141" s="166" t="s">
        <v>368</v>
      </c>
      <c r="M141" s="116">
        <v>1972</v>
      </c>
      <c r="N141" s="147" t="s">
        <v>377</v>
      </c>
      <c r="O141" s="116">
        <v>9</v>
      </c>
      <c r="P141" s="116">
        <v>0</v>
      </c>
      <c r="Q141" s="116">
        <v>1</v>
      </c>
      <c r="R141" s="116">
        <v>45</v>
      </c>
      <c r="S141" s="142">
        <v>2089.6</v>
      </c>
      <c r="T141" s="143">
        <f t="shared" si="3"/>
        <v>2089.6</v>
      </c>
      <c r="U141" s="142">
        <v>1259.5999999999999</v>
      </c>
      <c r="V141" s="142">
        <f t="shared" si="4"/>
        <v>830</v>
      </c>
      <c r="W141" s="144" t="s">
        <v>218</v>
      </c>
      <c r="X141" s="145" t="s">
        <v>218</v>
      </c>
      <c r="Y141" s="116" t="s">
        <v>218</v>
      </c>
      <c r="Z141" s="145" t="s">
        <v>218</v>
      </c>
      <c r="AA141" s="116" t="s">
        <v>218</v>
      </c>
      <c r="AB141" s="145" t="str">
        <f t="shared" si="5"/>
        <v>да</v>
      </c>
      <c r="AC141" s="116" t="s">
        <v>219</v>
      </c>
      <c r="AD141" s="116" t="s">
        <v>218</v>
      </c>
      <c r="AE141" s="116" t="s">
        <v>219</v>
      </c>
      <c r="AF141" s="145">
        <v>1</v>
      </c>
      <c r="AG141" s="116">
        <v>2</v>
      </c>
      <c r="AH141" s="132">
        <v>1</v>
      </c>
      <c r="AI141" s="116">
        <v>1</v>
      </c>
      <c r="AJ141" s="116">
        <f>'[1]ТЭ (прил. 2.1)'!AY144</f>
        <v>5</v>
      </c>
      <c r="AK141" s="116">
        <v>0</v>
      </c>
      <c r="AL141" s="81"/>
    </row>
    <row r="142" spans="1:38" s="83" customFormat="1" ht="32.25" customHeight="1" x14ac:dyDescent="0.3">
      <c r="A142" s="80">
        <v>135</v>
      </c>
      <c r="B142" s="87" t="s">
        <v>196</v>
      </c>
      <c r="C142" s="87" t="s">
        <v>385</v>
      </c>
      <c r="D142" s="138" t="s">
        <v>416</v>
      </c>
      <c r="E142" s="116">
        <v>12</v>
      </c>
      <c r="F142" s="116" t="s">
        <v>245</v>
      </c>
      <c r="G142" s="116"/>
      <c r="H142" s="84" t="s">
        <v>713</v>
      </c>
      <c r="I142" s="166" t="s">
        <v>376</v>
      </c>
      <c r="J142" s="23" t="s">
        <v>308</v>
      </c>
      <c r="K142" s="146"/>
      <c r="L142" s="166"/>
      <c r="M142" s="116"/>
      <c r="N142" s="147"/>
      <c r="O142" s="116"/>
      <c r="P142" s="116"/>
      <c r="Q142" s="116"/>
      <c r="R142" s="116"/>
      <c r="S142" s="142"/>
      <c r="T142" s="143"/>
      <c r="U142" s="142"/>
      <c r="V142" s="142"/>
      <c r="W142" s="144"/>
      <c r="X142" s="145"/>
      <c r="Y142" s="116"/>
      <c r="Z142" s="145"/>
      <c r="AA142" s="116"/>
      <c r="AB142" s="145"/>
      <c r="AC142" s="116"/>
      <c r="AD142" s="116"/>
      <c r="AE142" s="116"/>
      <c r="AF142" s="145"/>
      <c r="AG142" s="116"/>
      <c r="AH142" s="132"/>
      <c r="AI142" s="116"/>
      <c r="AJ142" s="116"/>
      <c r="AK142" s="116"/>
      <c r="AL142" s="81"/>
    </row>
    <row r="143" spans="1:38" s="83" customFormat="1" ht="32.25" customHeight="1" x14ac:dyDescent="0.3">
      <c r="A143" s="114">
        <v>136</v>
      </c>
      <c r="B143" s="87" t="s">
        <v>196</v>
      </c>
      <c r="C143" s="87" t="s">
        <v>388</v>
      </c>
      <c r="D143" s="138" t="s">
        <v>416</v>
      </c>
      <c r="E143" s="116">
        <v>13</v>
      </c>
      <c r="F143" s="116">
        <v>1</v>
      </c>
      <c r="G143" s="116"/>
      <c r="H143" s="84" t="s">
        <v>714</v>
      </c>
      <c r="I143" s="166" t="s">
        <v>247</v>
      </c>
      <c r="J143" s="23"/>
      <c r="K143" s="146" t="s">
        <v>199</v>
      </c>
      <c r="L143" s="166" t="s">
        <v>378</v>
      </c>
      <c r="M143" s="116">
        <v>1968</v>
      </c>
      <c r="N143" s="147" t="s">
        <v>384</v>
      </c>
      <c r="O143" s="116">
        <v>9</v>
      </c>
      <c r="P143" s="116">
        <v>0</v>
      </c>
      <c r="Q143" s="116">
        <v>6</v>
      </c>
      <c r="R143" s="116">
        <v>220</v>
      </c>
      <c r="S143" s="142">
        <v>11177.69</v>
      </c>
      <c r="T143" s="143">
        <f t="shared" si="3"/>
        <v>11177.69</v>
      </c>
      <c r="U143" s="142">
        <v>7310.09</v>
      </c>
      <c r="V143" s="142">
        <f t="shared" si="4"/>
        <v>3867.6000000000004</v>
      </c>
      <c r="W143" s="144" t="s">
        <v>218</v>
      </c>
      <c r="X143" s="145" t="s">
        <v>218</v>
      </c>
      <c r="Y143" s="116" t="s">
        <v>218</v>
      </c>
      <c r="Z143" s="145" t="s">
        <v>218</v>
      </c>
      <c r="AA143" s="116" t="s">
        <v>218</v>
      </c>
      <c r="AB143" s="145" t="str">
        <f t="shared" si="5"/>
        <v>да</v>
      </c>
      <c r="AC143" s="116" t="s">
        <v>219</v>
      </c>
      <c r="AD143" s="116" t="s">
        <v>218</v>
      </c>
      <c r="AE143" s="116" t="s">
        <v>219</v>
      </c>
      <c r="AF143" s="145">
        <v>6</v>
      </c>
      <c r="AG143" s="116">
        <v>2</v>
      </c>
      <c r="AH143" s="132">
        <v>1</v>
      </c>
      <c r="AI143" s="116">
        <v>1</v>
      </c>
      <c r="AJ143" s="116">
        <f>'[1]ТЭ (прил. 2.1)'!AY146</f>
        <v>1</v>
      </c>
      <c r="AK143" s="116">
        <v>0</v>
      </c>
      <c r="AL143" s="81"/>
    </row>
    <row r="144" spans="1:38" s="83" customFormat="1" ht="32.25" customHeight="1" x14ac:dyDescent="0.3">
      <c r="A144" s="5">
        <v>137</v>
      </c>
      <c r="B144" s="87" t="s">
        <v>196</v>
      </c>
      <c r="C144" s="87" t="s">
        <v>388</v>
      </c>
      <c r="D144" s="138" t="s">
        <v>416</v>
      </c>
      <c r="E144" s="116">
        <v>13</v>
      </c>
      <c r="F144" s="116">
        <v>2</v>
      </c>
      <c r="G144" s="116"/>
      <c r="H144" s="84" t="s">
        <v>715</v>
      </c>
      <c r="I144" s="166" t="s">
        <v>376</v>
      </c>
      <c r="J144" s="23" t="s">
        <v>308</v>
      </c>
      <c r="K144" s="140"/>
      <c r="L144" s="166"/>
      <c r="M144" s="116"/>
      <c r="N144" s="147"/>
      <c r="O144" s="116"/>
      <c r="P144" s="116"/>
      <c r="Q144" s="116"/>
      <c r="R144" s="116"/>
      <c r="S144" s="142"/>
      <c r="T144" s="143"/>
      <c r="U144" s="142"/>
      <c r="V144" s="142"/>
      <c r="W144" s="144"/>
      <c r="X144" s="145"/>
      <c r="Y144" s="116"/>
      <c r="Z144" s="145"/>
      <c r="AA144" s="116"/>
      <c r="AB144" s="145"/>
      <c r="AC144" s="116"/>
      <c r="AD144" s="116"/>
      <c r="AE144" s="116"/>
      <c r="AF144" s="145"/>
      <c r="AG144" s="116"/>
      <c r="AH144" s="132"/>
      <c r="AI144" s="116"/>
      <c r="AJ144" s="116"/>
      <c r="AK144" s="116"/>
      <c r="AL144" s="81"/>
    </row>
    <row r="145" spans="1:38" s="83" customFormat="1" ht="32.25" customHeight="1" x14ac:dyDescent="0.3">
      <c r="A145" s="80">
        <v>138</v>
      </c>
      <c r="B145" s="87" t="s">
        <v>196</v>
      </c>
      <c r="C145" s="87" t="s">
        <v>388</v>
      </c>
      <c r="D145" s="138" t="s">
        <v>416</v>
      </c>
      <c r="E145" s="116">
        <v>13</v>
      </c>
      <c r="F145" s="116">
        <v>3</v>
      </c>
      <c r="G145" s="116"/>
      <c r="H145" s="84" t="s">
        <v>716</v>
      </c>
      <c r="I145" s="166" t="s">
        <v>376</v>
      </c>
      <c r="J145" s="23" t="s">
        <v>308</v>
      </c>
      <c r="K145" s="140"/>
      <c r="L145" s="166"/>
      <c r="M145" s="116"/>
      <c r="N145" s="147"/>
      <c r="O145" s="116"/>
      <c r="P145" s="116"/>
      <c r="Q145" s="116"/>
      <c r="R145" s="116"/>
      <c r="S145" s="142"/>
      <c r="T145" s="143"/>
      <c r="U145" s="142"/>
      <c r="V145" s="142"/>
      <c r="W145" s="144"/>
      <c r="X145" s="145"/>
      <c r="Y145" s="116"/>
      <c r="Z145" s="145"/>
      <c r="AA145" s="116"/>
      <c r="AB145" s="145"/>
      <c r="AC145" s="116"/>
      <c r="AD145" s="116"/>
      <c r="AE145" s="116"/>
      <c r="AF145" s="145"/>
      <c r="AG145" s="116"/>
      <c r="AH145" s="132"/>
      <c r="AI145" s="116"/>
      <c r="AJ145" s="116"/>
      <c r="AK145" s="116"/>
      <c r="AL145" s="81"/>
    </row>
    <row r="146" spans="1:38" s="83" customFormat="1" ht="32.25" customHeight="1" x14ac:dyDescent="0.3">
      <c r="A146" s="114">
        <v>139</v>
      </c>
      <c r="B146" s="87" t="s">
        <v>196</v>
      </c>
      <c r="C146" s="87" t="s">
        <v>388</v>
      </c>
      <c r="D146" s="138" t="s">
        <v>416</v>
      </c>
      <c r="E146" s="116">
        <v>13</v>
      </c>
      <c r="F146" s="116">
        <v>4</v>
      </c>
      <c r="G146" s="116"/>
      <c r="H146" s="84" t="s">
        <v>717</v>
      </c>
      <c r="I146" s="166" t="s">
        <v>247</v>
      </c>
      <c r="J146" s="23"/>
      <c r="K146" s="146" t="s">
        <v>199</v>
      </c>
      <c r="L146" s="166" t="s">
        <v>389</v>
      </c>
      <c r="M146" s="116">
        <v>1969</v>
      </c>
      <c r="N146" s="147" t="s">
        <v>380</v>
      </c>
      <c r="O146" s="116">
        <v>9</v>
      </c>
      <c r="P146" s="116">
        <v>0</v>
      </c>
      <c r="Q146" s="116">
        <v>7</v>
      </c>
      <c r="R146" s="116">
        <v>257</v>
      </c>
      <c r="S146" s="142">
        <v>12889.8</v>
      </c>
      <c r="T146" s="143">
        <f t="shared" si="3"/>
        <v>12889.8</v>
      </c>
      <c r="U146" s="142">
        <v>8770.2999999999993</v>
      </c>
      <c r="V146" s="142">
        <f t="shared" si="4"/>
        <v>4119.5</v>
      </c>
      <c r="W146" s="144" t="s">
        <v>218</v>
      </c>
      <c r="X146" s="145" t="s">
        <v>218</v>
      </c>
      <c r="Y146" s="116" t="s">
        <v>218</v>
      </c>
      <c r="Z146" s="145" t="s">
        <v>218</v>
      </c>
      <c r="AA146" s="116" t="s">
        <v>218</v>
      </c>
      <c r="AB146" s="145" t="str">
        <f t="shared" si="5"/>
        <v>да</v>
      </c>
      <c r="AC146" s="116" t="s">
        <v>219</v>
      </c>
      <c r="AD146" s="116" t="s">
        <v>218</v>
      </c>
      <c r="AE146" s="116" t="s">
        <v>219</v>
      </c>
      <c r="AF146" s="145">
        <v>7</v>
      </c>
      <c r="AG146" s="116">
        <v>2</v>
      </c>
      <c r="AH146" s="132">
        <v>1</v>
      </c>
      <c r="AI146" s="116">
        <v>1</v>
      </c>
      <c r="AJ146" s="116">
        <f>'[1]ТЭ (прил. 2.1)'!AY149</f>
        <v>1</v>
      </c>
      <c r="AK146" s="116">
        <v>0</v>
      </c>
      <c r="AL146" s="81"/>
    </row>
    <row r="147" spans="1:38" s="83" customFormat="1" ht="32.25" customHeight="1" x14ac:dyDescent="0.3">
      <c r="A147" s="5">
        <v>140</v>
      </c>
      <c r="B147" s="87" t="s">
        <v>196</v>
      </c>
      <c r="C147" s="87" t="s">
        <v>385</v>
      </c>
      <c r="D147" s="138" t="s">
        <v>416</v>
      </c>
      <c r="E147" s="116">
        <v>14</v>
      </c>
      <c r="F147" s="116" t="s">
        <v>245</v>
      </c>
      <c r="G147" s="116"/>
      <c r="H147" s="84" t="s">
        <v>718</v>
      </c>
      <c r="I147" s="166" t="s">
        <v>376</v>
      </c>
      <c r="J147" s="23"/>
      <c r="K147" s="140" t="s">
        <v>372</v>
      </c>
      <c r="L147" s="166" t="s">
        <v>367</v>
      </c>
      <c r="M147" s="116">
        <v>1968</v>
      </c>
      <c r="N147" s="147" t="s">
        <v>303</v>
      </c>
      <c r="O147" s="116">
        <v>5</v>
      </c>
      <c r="P147" s="116">
        <v>0</v>
      </c>
      <c r="Q147" s="116">
        <v>8</v>
      </c>
      <c r="R147" s="116">
        <v>160</v>
      </c>
      <c r="S147" s="142">
        <v>7169.11</v>
      </c>
      <c r="T147" s="143">
        <f t="shared" si="3"/>
        <v>7169.11</v>
      </c>
      <c r="U147" s="142">
        <v>4734.83</v>
      </c>
      <c r="V147" s="142">
        <f t="shared" si="4"/>
        <v>2434.2799999999997</v>
      </c>
      <c r="W147" s="144" t="s">
        <v>218</v>
      </c>
      <c r="X147" s="145" t="s">
        <v>218</v>
      </c>
      <c r="Y147" s="116" t="s">
        <v>218</v>
      </c>
      <c r="Z147" s="145" t="s">
        <v>218</v>
      </c>
      <c r="AA147" s="116" t="s">
        <v>218</v>
      </c>
      <c r="AB147" s="145" t="str">
        <f t="shared" si="5"/>
        <v>да</v>
      </c>
      <c r="AC147" s="116" t="s">
        <v>219</v>
      </c>
      <c r="AD147" s="116" t="s">
        <v>218</v>
      </c>
      <c r="AE147" s="116" t="s">
        <v>219</v>
      </c>
      <c r="AF147" s="145">
        <v>0</v>
      </c>
      <c r="AG147" s="116">
        <v>2</v>
      </c>
      <c r="AH147" s="132">
        <v>1</v>
      </c>
      <c r="AI147" s="116">
        <v>2</v>
      </c>
      <c r="AJ147" s="116">
        <f>'[1]ТЭ (прил. 2.1)'!AY150</f>
        <v>1</v>
      </c>
      <c r="AK147" s="116">
        <v>0</v>
      </c>
      <c r="AL147" s="81"/>
    </row>
    <row r="148" spans="1:38" s="83" customFormat="1" ht="32.25" customHeight="1" x14ac:dyDescent="0.3">
      <c r="A148" s="80">
        <v>141</v>
      </c>
      <c r="B148" s="87" t="s">
        <v>196</v>
      </c>
      <c r="C148" s="87" t="s">
        <v>388</v>
      </c>
      <c r="D148" s="138" t="s">
        <v>416</v>
      </c>
      <c r="E148" s="116">
        <v>15</v>
      </c>
      <c r="F148" s="116">
        <v>1</v>
      </c>
      <c r="G148" s="116"/>
      <c r="H148" s="84" t="s">
        <v>719</v>
      </c>
      <c r="I148" s="166" t="s">
        <v>376</v>
      </c>
      <c r="J148" s="23"/>
      <c r="K148" s="146" t="s">
        <v>199</v>
      </c>
      <c r="L148" s="166" t="s">
        <v>378</v>
      </c>
      <c r="M148" s="116">
        <v>1967</v>
      </c>
      <c r="N148" s="147" t="s">
        <v>384</v>
      </c>
      <c r="O148" s="116">
        <v>9</v>
      </c>
      <c r="P148" s="116">
        <v>0</v>
      </c>
      <c r="Q148" s="116">
        <v>6</v>
      </c>
      <c r="R148" s="116">
        <v>221</v>
      </c>
      <c r="S148" s="142">
        <v>11254.7</v>
      </c>
      <c r="T148" s="143">
        <f t="shared" si="3"/>
        <v>11254.7</v>
      </c>
      <c r="U148" s="142">
        <v>7415.25</v>
      </c>
      <c r="V148" s="142">
        <f t="shared" si="4"/>
        <v>3839.4500000000007</v>
      </c>
      <c r="W148" s="144" t="s">
        <v>218</v>
      </c>
      <c r="X148" s="145" t="s">
        <v>218</v>
      </c>
      <c r="Y148" s="116" t="s">
        <v>218</v>
      </c>
      <c r="Z148" s="145" t="s">
        <v>218</v>
      </c>
      <c r="AA148" s="116" t="s">
        <v>218</v>
      </c>
      <c r="AB148" s="145" t="str">
        <f t="shared" si="5"/>
        <v>да</v>
      </c>
      <c r="AC148" s="116" t="s">
        <v>219</v>
      </c>
      <c r="AD148" s="116" t="s">
        <v>218</v>
      </c>
      <c r="AE148" s="116" t="s">
        <v>219</v>
      </c>
      <c r="AF148" s="145">
        <v>6</v>
      </c>
      <c r="AG148" s="116">
        <v>2</v>
      </c>
      <c r="AH148" s="132">
        <v>1</v>
      </c>
      <c r="AI148" s="116">
        <v>1</v>
      </c>
      <c r="AJ148" s="116">
        <f>'[1]ТЭ (прил. 2.1)'!AY151</f>
        <v>1</v>
      </c>
      <c r="AK148" s="116">
        <v>0</v>
      </c>
      <c r="AL148" s="81"/>
    </row>
    <row r="149" spans="1:38" s="83" customFormat="1" ht="32.25" customHeight="1" x14ac:dyDescent="0.3">
      <c r="A149" s="114">
        <v>142</v>
      </c>
      <c r="B149" s="87" t="s">
        <v>196</v>
      </c>
      <c r="C149" s="87" t="s">
        <v>388</v>
      </c>
      <c r="D149" s="138" t="s">
        <v>416</v>
      </c>
      <c r="E149" s="116">
        <v>15</v>
      </c>
      <c r="F149" s="116">
        <v>2</v>
      </c>
      <c r="G149" s="116"/>
      <c r="H149" s="84" t="s">
        <v>720</v>
      </c>
      <c r="I149" s="166" t="s">
        <v>376</v>
      </c>
      <c r="J149" s="23"/>
      <c r="K149" s="140" t="s">
        <v>372</v>
      </c>
      <c r="L149" s="166" t="s">
        <v>367</v>
      </c>
      <c r="M149" s="116">
        <v>1967</v>
      </c>
      <c r="N149" s="147" t="s">
        <v>303</v>
      </c>
      <c r="O149" s="116">
        <v>5</v>
      </c>
      <c r="P149" s="116">
        <v>0</v>
      </c>
      <c r="Q149" s="116">
        <v>5</v>
      </c>
      <c r="R149" s="116">
        <v>99</v>
      </c>
      <c r="S149" s="142">
        <v>4540.3</v>
      </c>
      <c r="T149" s="143">
        <f t="shared" si="3"/>
        <v>4540.3</v>
      </c>
      <c r="U149" s="142">
        <v>3075.58</v>
      </c>
      <c r="V149" s="142">
        <f t="shared" si="4"/>
        <v>1464.7200000000003</v>
      </c>
      <c r="W149" s="144" t="s">
        <v>218</v>
      </c>
      <c r="X149" s="145" t="s">
        <v>218</v>
      </c>
      <c r="Y149" s="116" t="s">
        <v>218</v>
      </c>
      <c r="Z149" s="145" t="s">
        <v>218</v>
      </c>
      <c r="AA149" s="116" t="s">
        <v>218</v>
      </c>
      <c r="AB149" s="145" t="str">
        <f t="shared" si="5"/>
        <v>да</v>
      </c>
      <c r="AC149" s="116" t="s">
        <v>219</v>
      </c>
      <c r="AD149" s="116" t="s">
        <v>218</v>
      </c>
      <c r="AE149" s="116" t="s">
        <v>219</v>
      </c>
      <c r="AF149" s="145">
        <v>0</v>
      </c>
      <c r="AG149" s="116">
        <v>0</v>
      </c>
      <c r="AH149" s="132">
        <v>1</v>
      </c>
      <c r="AI149" s="116">
        <v>1</v>
      </c>
      <c r="AJ149" s="116">
        <f>'[1]ТЭ (прил. 2.1)'!AY152</f>
        <v>1</v>
      </c>
      <c r="AK149" s="116">
        <v>0</v>
      </c>
      <c r="AL149" s="81"/>
    </row>
    <row r="150" spans="1:38" s="83" customFormat="1" ht="32.25" customHeight="1" x14ac:dyDescent="0.3">
      <c r="A150" s="5">
        <v>143</v>
      </c>
      <c r="B150" s="87" t="s">
        <v>196</v>
      </c>
      <c r="C150" s="87" t="s">
        <v>388</v>
      </c>
      <c r="D150" s="138" t="s">
        <v>416</v>
      </c>
      <c r="E150" s="116">
        <v>15</v>
      </c>
      <c r="F150" s="116">
        <v>4</v>
      </c>
      <c r="G150" s="116"/>
      <c r="H150" s="84" t="s">
        <v>721</v>
      </c>
      <c r="I150" s="166" t="s">
        <v>376</v>
      </c>
      <c r="J150" s="23" t="s">
        <v>308</v>
      </c>
      <c r="K150" s="146"/>
      <c r="L150" s="166"/>
      <c r="M150" s="116"/>
      <c r="N150" s="147"/>
      <c r="O150" s="116"/>
      <c r="P150" s="116"/>
      <c r="Q150" s="116"/>
      <c r="R150" s="116"/>
      <c r="S150" s="142"/>
      <c r="T150" s="143"/>
      <c r="U150" s="142"/>
      <c r="V150" s="142"/>
      <c r="W150" s="144"/>
      <c r="X150" s="145"/>
      <c r="Y150" s="116"/>
      <c r="Z150" s="145"/>
      <c r="AA150" s="116"/>
      <c r="AB150" s="145"/>
      <c r="AC150" s="116"/>
      <c r="AD150" s="116"/>
      <c r="AE150" s="116"/>
      <c r="AF150" s="145"/>
      <c r="AG150" s="116"/>
      <c r="AH150" s="132"/>
      <c r="AI150" s="116"/>
      <c r="AJ150" s="116"/>
      <c r="AK150" s="116"/>
      <c r="AL150" s="81"/>
    </row>
    <row r="151" spans="1:38" s="83" customFormat="1" ht="32.25" customHeight="1" x14ac:dyDescent="0.3">
      <c r="A151" s="80">
        <v>144</v>
      </c>
      <c r="B151" s="87" t="s">
        <v>196</v>
      </c>
      <c r="C151" s="87" t="s">
        <v>385</v>
      </c>
      <c r="D151" s="138" t="s">
        <v>416</v>
      </c>
      <c r="E151" s="116">
        <v>18</v>
      </c>
      <c r="F151" s="116">
        <v>1</v>
      </c>
      <c r="G151" s="116"/>
      <c r="H151" s="84" t="s">
        <v>722</v>
      </c>
      <c r="I151" s="166" t="s">
        <v>376</v>
      </c>
      <c r="J151" s="23"/>
      <c r="K151" s="146" t="s">
        <v>303</v>
      </c>
      <c r="L151" s="166" t="s">
        <v>368</v>
      </c>
      <c r="M151" s="116">
        <v>1971</v>
      </c>
      <c r="N151" s="147" t="s">
        <v>377</v>
      </c>
      <c r="O151" s="116">
        <v>9</v>
      </c>
      <c r="P151" s="116">
        <v>0</v>
      </c>
      <c r="Q151" s="116">
        <v>1</v>
      </c>
      <c r="R151" s="116">
        <v>46</v>
      </c>
      <c r="S151" s="142">
        <v>2076.5</v>
      </c>
      <c r="T151" s="143">
        <f t="shared" si="3"/>
        <v>2076.5</v>
      </c>
      <c r="U151" s="142">
        <v>1249.5</v>
      </c>
      <c r="V151" s="142">
        <f t="shared" si="4"/>
        <v>827</v>
      </c>
      <c r="W151" s="144" t="s">
        <v>218</v>
      </c>
      <c r="X151" s="145" t="s">
        <v>218</v>
      </c>
      <c r="Y151" s="116" t="s">
        <v>218</v>
      </c>
      <c r="Z151" s="145" t="s">
        <v>218</v>
      </c>
      <c r="AA151" s="116" t="s">
        <v>218</v>
      </c>
      <c r="AB151" s="145" t="str">
        <f t="shared" si="5"/>
        <v>да</v>
      </c>
      <c r="AC151" s="116" t="s">
        <v>219</v>
      </c>
      <c r="AD151" s="116" t="s">
        <v>218</v>
      </c>
      <c r="AE151" s="116" t="s">
        <v>219</v>
      </c>
      <c r="AF151" s="145">
        <v>1</v>
      </c>
      <c r="AG151" s="116">
        <v>2</v>
      </c>
      <c r="AH151" s="132">
        <v>1</v>
      </c>
      <c r="AI151" s="116">
        <v>1</v>
      </c>
      <c r="AJ151" s="116">
        <f>'[1]ТЭ (прил. 2.1)'!AY154</f>
        <v>4</v>
      </c>
      <c r="AK151" s="116">
        <v>0</v>
      </c>
      <c r="AL151" s="81"/>
    </row>
    <row r="152" spans="1:38" s="83" customFormat="1" ht="32.25" customHeight="1" x14ac:dyDescent="0.3">
      <c r="A152" s="114">
        <v>145</v>
      </c>
      <c r="B152" s="87" t="s">
        <v>196</v>
      </c>
      <c r="C152" s="87" t="s">
        <v>385</v>
      </c>
      <c r="D152" s="138" t="s">
        <v>416</v>
      </c>
      <c r="E152" s="116">
        <v>18</v>
      </c>
      <c r="F152" s="116">
        <v>2</v>
      </c>
      <c r="G152" s="116"/>
      <c r="H152" s="84" t="s">
        <v>723</v>
      </c>
      <c r="I152" s="166" t="s">
        <v>376</v>
      </c>
      <c r="J152" s="23"/>
      <c r="K152" s="146" t="s">
        <v>303</v>
      </c>
      <c r="L152" s="166" t="s">
        <v>368</v>
      </c>
      <c r="M152" s="116">
        <v>1970</v>
      </c>
      <c r="N152" s="147" t="s">
        <v>377</v>
      </c>
      <c r="O152" s="116">
        <v>9</v>
      </c>
      <c r="P152" s="116">
        <v>0</v>
      </c>
      <c r="Q152" s="116">
        <v>1</v>
      </c>
      <c r="R152" s="116">
        <v>45</v>
      </c>
      <c r="S152" s="142">
        <v>2079.4</v>
      </c>
      <c r="T152" s="143">
        <f t="shared" si="3"/>
        <v>2079.4</v>
      </c>
      <c r="U152" s="142">
        <v>1248.9000000000001</v>
      </c>
      <c r="V152" s="142">
        <f t="shared" si="4"/>
        <v>830.5</v>
      </c>
      <c r="W152" s="144" t="s">
        <v>218</v>
      </c>
      <c r="X152" s="145" t="s">
        <v>218</v>
      </c>
      <c r="Y152" s="116" t="s">
        <v>218</v>
      </c>
      <c r="Z152" s="145" t="s">
        <v>218</v>
      </c>
      <c r="AA152" s="116" t="s">
        <v>218</v>
      </c>
      <c r="AB152" s="145" t="str">
        <f t="shared" si="5"/>
        <v>да</v>
      </c>
      <c r="AC152" s="116" t="s">
        <v>219</v>
      </c>
      <c r="AD152" s="116" t="s">
        <v>218</v>
      </c>
      <c r="AE152" s="116" t="s">
        <v>219</v>
      </c>
      <c r="AF152" s="145">
        <v>1</v>
      </c>
      <c r="AG152" s="116">
        <v>2</v>
      </c>
      <c r="AH152" s="132">
        <v>1</v>
      </c>
      <c r="AI152" s="116">
        <v>1</v>
      </c>
      <c r="AJ152" s="116">
        <f>'[1]ТЭ (прил. 2.1)'!AY155</f>
        <v>1</v>
      </c>
      <c r="AK152" s="116">
        <v>0</v>
      </c>
      <c r="AL152" s="81"/>
    </row>
    <row r="153" spans="1:38" s="83" customFormat="1" ht="32.25" customHeight="1" x14ac:dyDescent="0.3">
      <c r="A153" s="5">
        <v>146</v>
      </c>
      <c r="B153" s="87" t="s">
        <v>196</v>
      </c>
      <c r="C153" s="87" t="s">
        <v>385</v>
      </c>
      <c r="D153" s="138" t="s">
        <v>416</v>
      </c>
      <c r="E153" s="116">
        <v>18</v>
      </c>
      <c r="F153" s="116">
        <v>3</v>
      </c>
      <c r="G153" s="116"/>
      <c r="H153" s="84" t="s">
        <v>724</v>
      </c>
      <c r="I153" s="166" t="s">
        <v>376</v>
      </c>
      <c r="J153" s="23"/>
      <c r="K153" s="146" t="s">
        <v>303</v>
      </c>
      <c r="L153" s="166" t="s">
        <v>368</v>
      </c>
      <c r="M153" s="116">
        <v>1970</v>
      </c>
      <c r="N153" s="147" t="s">
        <v>380</v>
      </c>
      <c r="O153" s="116">
        <v>9</v>
      </c>
      <c r="P153" s="116">
        <v>0</v>
      </c>
      <c r="Q153" s="116">
        <v>1</v>
      </c>
      <c r="R153" s="116">
        <v>45</v>
      </c>
      <c r="S153" s="142">
        <v>2070.6</v>
      </c>
      <c r="T153" s="143">
        <f t="shared" si="3"/>
        <v>2070.6</v>
      </c>
      <c r="U153" s="142">
        <v>1250.5</v>
      </c>
      <c r="V153" s="142">
        <f t="shared" si="4"/>
        <v>820.09999999999991</v>
      </c>
      <c r="W153" s="144" t="s">
        <v>218</v>
      </c>
      <c r="X153" s="145" t="s">
        <v>218</v>
      </c>
      <c r="Y153" s="116" t="s">
        <v>218</v>
      </c>
      <c r="Z153" s="145" t="s">
        <v>218</v>
      </c>
      <c r="AA153" s="116" t="s">
        <v>218</v>
      </c>
      <c r="AB153" s="145" t="str">
        <f t="shared" si="5"/>
        <v>да</v>
      </c>
      <c r="AC153" s="116" t="s">
        <v>219</v>
      </c>
      <c r="AD153" s="116" t="s">
        <v>218</v>
      </c>
      <c r="AE153" s="116" t="s">
        <v>219</v>
      </c>
      <c r="AF153" s="145">
        <v>1</v>
      </c>
      <c r="AG153" s="116">
        <v>2</v>
      </c>
      <c r="AH153" s="132">
        <v>1</v>
      </c>
      <c r="AI153" s="116">
        <v>1</v>
      </c>
      <c r="AJ153" s="116">
        <f>'[1]ТЭ (прил. 2.1)'!AY156</f>
        <v>1</v>
      </c>
      <c r="AK153" s="116">
        <v>0</v>
      </c>
      <c r="AL153" s="81"/>
    </row>
    <row r="154" spans="1:38" s="83" customFormat="1" ht="32.25" customHeight="1" x14ac:dyDescent="0.3">
      <c r="A154" s="80">
        <v>147</v>
      </c>
      <c r="B154" s="87" t="s">
        <v>196</v>
      </c>
      <c r="C154" s="87" t="s">
        <v>385</v>
      </c>
      <c r="D154" s="138" t="s">
        <v>416</v>
      </c>
      <c r="E154" s="116">
        <v>20</v>
      </c>
      <c r="F154" s="116">
        <v>1</v>
      </c>
      <c r="G154" s="116"/>
      <c r="H154" s="84" t="s">
        <v>725</v>
      </c>
      <c r="I154" s="166" t="s">
        <v>376</v>
      </c>
      <c r="J154" s="23"/>
      <c r="K154" s="146" t="s">
        <v>199</v>
      </c>
      <c r="L154" s="166" t="s">
        <v>378</v>
      </c>
      <c r="M154" s="116">
        <v>1968</v>
      </c>
      <c r="N154" s="147" t="s">
        <v>380</v>
      </c>
      <c r="O154" s="116">
        <v>9</v>
      </c>
      <c r="P154" s="116">
        <v>0</v>
      </c>
      <c r="Q154" s="116">
        <v>6</v>
      </c>
      <c r="R154" s="116">
        <v>213</v>
      </c>
      <c r="S154" s="142">
        <v>11235.88</v>
      </c>
      <c r="T154" s="143">
        <f t="shared" si="3"/>
        <v>11235.88</v>
      </c>
      <c r="U154" s="142">
        <v>7218.8</v>
      </c>
      <c r="V154" s="142">
        <f t="shared" si="4"/>
        <v>4017.079999999999</v>
      </c>
      <c r="W154" s="144" t="s">
        <v>218</v>
      </c>
      <c r="X154" s="145" t="s">
        <v>218</v>
      </c>
      <c r="Y154" s="116" t="s">
        <v>218</v>
      </c>
      <c r="Z154" s="145" t="s">
        <v>218</v>
      </c>
      <c r="AA154" s="116" t="s">
        <v>218</v>
      </c>
      <c r="AB154" s="145" t="str">
        <f t="shared" si="5"/>
        <v>да</v>
      </c>
      <c r="AC154" s="116" t="s">
        <v>219</v>
      </c>
      <c r="AD154" s="116" t="s">
        <v>218</v>
      </c>
      <c r="AE154" s="116" t="s">
        <v>219</v>
      </c>
      <c r="AF154" s="145">
        <v>6</v>
      </c>
      <c r="AG154" s="116">
        <v>2</v>
      </c>
      <c r="AH154" s="132">
        <v>1</v>
      </c>
      <c r="AI154" s="116">
        <v>1</v>
      </c>
      <c r="AJ154" s="116">
        <f>'[1]ТЭ (прил. 2.1)'!AY157</f>
        <v>2</v>
      </c>
      <c r="AK154" s="116">
        <v>0</v>
      </c>
      <c r="AL154" s="81"/>
    </row>
    <row r="155" spans="1:38" s="83" customFormat="1" ht="32.25" customHeight="1" x14ac:dyDescent="0.3">
      <c r="A155" s="114">
        <v>148</v>
      </c>
      <c r="B155" s="87" t="s">
        <v>196</v>
      </c>
      <c r="C155" s="87" t="s">
        <v>385</v>
      </c>
      <c r="D155" s="138" t="s">
        <v>416</v>
      </c>
      <c r="E155" s="116">
        <v>20</v>
      </c>
      <c r="F155" s="116">
        <v>2</v>
      </c>
      <c r="G155" s="116"/>
      <c r="H155" s="84" t="s">
        <v>726</v>
      </c>
      <c r="I155" s="166" t="s">
        <v>376</v>
      </c>
      <c r="J155" s="23" t="s">
        <v>308</v>
      </c>
      <c r="K155" s="140"/>
      <c r="L155" s="166"/>
      <c r="M155" s="116"/>
      <c r="N155" s="147"/>
      <c r="O155" s="116"/>
      <c r="P155" s="116"/>
      <c r="Q155" s="116"/>
      <c r="R155" s="116"/>
      <c r="S155" s="142"/>
      <c r="T155" s="143"/>
      <c r="U155" s="142"/>
      <c r="V155" s="142"/>
      <c r="W155" s="144"/>
      <c r="X155" s="145"/>
      <c r="Y155" s="116"/>
      <c r="Z155" s="145"/>
      <c r="AA155" s="116"/>
      <c r="AB155" s="145"/>
      <c r="AC155" s="116"/>
      <c r="AD155" s="116"/>
      <c r="AE155" s="116"/>
      <c r="AF155" s="145"/>
      <c r="AG155" s="116"/>
      <c r="AH155" s="132"/>
      <c r="AI155" s="116"/>
      <c r="AJ155" s="116"/>
      <c r="AK155" s="116"/>
      <c r="AL155" s="81"/>
    </row>
    <row r="156" spans="1:38" s="83" customFormat="1" ht="32.25" customHeight="1" x14ac:dyDescent="0.3">
      <c r="A156" s="5">
        <v>149</v>
      </c>
      <c r="B156" s="87" t="s">
        <v>196</v>
      </c>
      <c r="C156" s="87" t="s">
        <v>385</v>
      </c>
      <c r="D156" s="138" t="s">
        <v>416</v>
      </c>
      <c r="E156" s="116">
        <v>20</v>
      </c>
      <c r="F156" s="116">
        <v>3</v>
      </c>
      <c r="G156" s="116"/>
      <c r="H156" s="84" t="s">
        <v>727</v>
      </c>
      <c r="I156" s="166" t="s">
        <v>376</v>
      </c>
      <c r="J156" s="23" t="s">
        <v>308</v>
      </c>
      <c r="K156" s="140"/>
      <c r="L156" s="166"/>
      <c r="M156" s="116"/>
      <c r="N156" s="147"/>
      <c r="O156" s="116"/>
      <c r="P156" s="116"/>
      <c r="Q156" s="116"/>
      <c r="R156" s="116"/>
      <c r="S156" s="142"/>
      <c r="T156" s="143"/>
      <c r="U156" s="142"/>
      <c r="V156" s="142"/>
      <c r="W156" s="144"/>
      <c r="X156" s="145"/>
      <c r="Y156" s="116"/>
      <c r="Z156" s="145"/>
      <c r="AA156" s="116"/>
      <c r="AB156" s="145"/>
      <c r="AC156" s="116"/>
      <c r="AD156" s="116"/>
      <c r="AE156" s="116"/>
      <c r="AF156" s="145"/>
      <c r="AG156" s="116"/>
      <c r="AH156" s="132"/>
      <c r="AI156" s="116"/>
      <c r="AJ156" s="116"/>
      <c r="AK156" s="116"/>
      <c r="AL156" s="81"/>
    </row>
    <row r="157" spans="1:38" s="83" customFormat="1" ht="32.25" customHeight="1" x14ac:dyDescent="0.3">
      <c r="A157" s="80">
        <v>150</v>
      </c>
      <c r="B157" s="87" t="s">
        <v>196</v>
      </c>
      <c r="C157" s="87" t="s">
        <v>388</v>
      </c>
      <c r="D157" s="138" t="s">
        <v>416</v>
      </c>
      <c r="E157" s="116">
        <v>21</v>
      </c>
      <c r="F157" s="116">
        <v>1</v>
      </c>
      <c r="G157" s="116"/>
      <c r="H157" s="84" t="s">
        <v>728</v>
      </c>
      <c r="I157" s="166" t="s">
        <v>247</v>
      </c>
      <c r="J157" s="23" t="s">
        <v>308</v>
      </c>
      <c r="K157" s="140"/>
      <c r="L157" s="166"/>
      <c r="M157" s="116"/>
      <c r="N157" s="147"/>
      <c r="O157" s="116"/>
      <c r="P157" s="116"/>
      <c r="Q157" s="116"/>
      <c r="R157" s="116"/>
      <c r="S157" s="142"/>
      <c r="T157" s="143"/>
      <c r="U157" s="142"/>
      <c r="V157" s="142"/>
      <c r="W157" s="144"/>
      <c r="X157" s="145"/>
      <c r="Y157" s="116"/>
      <c r="Z157" s="145"/>
      <c r="AA157" s="116"/>
      <c r="AB157" s="145"/>
      <c r="AC157" s="116"/>
      <c r="AD157" s="116"/>
      <c r="AE157" s="116"/>
      <c r="AF157" s="145"/>
      <c r="AG157" s="116"/>
      <c r="AH157" s="132"/>
      <c r="AI157" s="116"/>
      <c r="AJ157" s="116"/>
      <c r="AK157" s="116"/>
      <c r="AL157" s="81"/>
    </row>
    <row r="158" spans="1:38" s="83" customFormat="1" ht="32.25" customHeight="1" x14ac:dyDescent="0.3">
      <c r="A158" s="114">
        <v>151</v>
      </c>
      <c r="B158" s="87" t="s">
        <v>196</v>
      </c>
      <c r="C158" s="87" t="s">
        <v>385</v>
      </c>
      <c r="D158" s="138" t="s">
        <v>416</v>
      </c>
      <c r="E158" s="116">
        <v>22</v>
      </c>
      <c r="F158" s="116">
        <v>1</v>
      </c>
      <c r="G158" s="116"/>
      <c r="H158" s="84" t="s">
        <v>729</v>
      </c>
      <c r="I158" s="166" t="s">
        <v>247</v>
      </c>
      <c r="J158" s="23"/>
      <c r="K158" s="146" t="s">
        <v>199</v>
      </c>
      <c r="L158" s="166" t="s">
        <v>378</v>
      </c>
      <c r="M158" s="116">
        <v>1969</v>
      </c>
      <c r="N158" s="147" t="s">
        <v>384</v>
      </c>
      <c r="O158" s="116">
        <v>9</v>
      </c>
      <c r="P158" s="116">
        <v>0</v>
      </c>
      <c r="Q158" s="116">
        <v>7</v>
      </c>
      <c r="R158" s="116">
        <v>260</v>
      </c>
      <c r="S158" s="142">
        <v>13270.07</v>
      </c>
      <c r="T158" s="143">
        <f t="shared" si="3"/>
        <v>13270.07</v>
      </c>
      <c r="U158" s="142">
        <v>8728.74</v>
      </c>
      <c r="V158" s="142">
        <f t="shared" si="4"/>
        <v>4541.33</v>
      </c>
      <c r="W158" s="144" t="s">
        <v>218</v>
      </c>
      <c r="X158" s="145" t="s">
        <v>218</v>
      </c>
      <c r="Y158" s="116" t="s">
        <v>218</v>
      </c>
      <c r="Z158" s="145" t="s">
        <v>218</v>
      </c>
      <c r="AA158" s="116" t="s">
        <v>218</v>
      </c>
      <c r="AB158" s="145" t="str">
        <f t="shared" si="5"/>
        <v>да</v>
      </c>
      <c r="AC158" s="116" t="s">
        <v>219</v>
      </c>
      <c r="AD158" s="116" t="s">
        <v>218</v>
      </c>
      <c r="AE158" s="116" t="s">
        <v>219</v>
      </c>
      <c r="AF158" s="145">
        <v>7</v>
      </c>
      <c r="AG158" s="116">
        <v>1</v>
      </c>
      <c r="AH158" s="132">
        <v>2</v>
      </c>
      <c r="AI158" s="116">
        <v>2</v>
      </c>
      <c r="AJ158" s="116">
        <f>'[1]ТЭ (прил. 2.1)'!AY161</f>
        <v>1</v>
      </c>
      <c r="AK158" s="116">
        <v>0</v>
      </c>
      <c r="AL158" s="81"/>
    </row>
    <row r="159" spans="1:38" s="83" customFormat="1" ht="32.25" customHeight="1" x14ac:dyDescent="0.3">
      <c r="A159" s="5">
        <v>152</v>
      </c>
      <c r="B159" s="87" t="s">
        <v>196</v>
      </c>
      <c r="C159" s="87" t="s">
        <v>385</v>
      </c>
      <c r="D159" s="138" t="s">
        <v>416</v>
      </c>
      <c r="E159" s="116">
        <v>22</v>
      </c>
      <c r="F159" s="116">
        <v>2</v>
      </c>
      <c r="G159" s="116"/>
      <c r="H159" s="84" t="s">
        <v>730</v>
      </c>
      <c r="I159" s="166" t="s">
        <v>376</v>
      </c>
      <c r="J159" s="23"/>
      <c r="K159" s="140" t="s">
        <v>372</v>
      </c>
      <c r="L159" s="166" t="s">
        <v>417</v>
      </c>
      <c r="M159" s="116">
        <v>1968</v>
      </c>
      <c r="N159" s="147" t="s">
        <v>303</v>
      </c>
      <c r="O159" s="116">
        <v>5</v>
      </c>
      <c r="P159" s="116">
        <v>0</v>
      </c>
      <c r="Q159" s="116">
        <v>7</v>
      </c>
      <c r="R159" s="116">
        <v>70</v>
      </c>
      <c r="S159" s="142">
        <v>3184</v>
      </c>
      <c r="T159" s="143">
        <f t="shared" si="3"/>
        <v>3184</v>
      </c>
      <c r="U159" s="142">
        <v>2312.5700000000002</v>
      </c>
      <c r="V159" s="142">
        <f t="shared" si="4"/>
        <v>871.42999999999984</v>
      </c>
      <c r="W159" s="144" t="s">
        <v>218</v>
      </c>
      <c r="X159" s="145" t="s">
        <v>218</v>
      </c>
      <c r="Y159" s="116" t="s">
        <v>218</v>
      </c>
      <c r="Z159" s="145" t="s">
        <v>218</v>
      </c>
      <c r="AA159" s="116" t="s">
        <v>218</v>
      </c>
      <c r="AB159" s="145" t="str">
        <f t="shared" si="5"/>
        <v>да</v>
      </c>
      <c r="AC159" s="116" t="s">
        <v>219</v>
      </c>
      <c r="AD159" s="116" t="s">
        <v>218</v>
      </c>
      <c r="AE159" s="116" t="s">
        <v>219</v>
      </c>
      <c r="AF159" s="145">
        <v>0</v>
      </c>
      <c r="AG159" s="116">
        <v>1</v>
      </c>
      <c r="AH159" s="132">
        <v>1</v>
      </c>
      <c r="AI159" s="116">
        <v>1</v>
      </c>
      <c r="AJ159" s="116">
        <f>'[1]ТЭ (прил. 2.1)'!AY162</f>
        <v>1</v>
      </c>
      <c r="AK159" s="116">
        <v>0</v>
      </c>
      <c r="AL159" s="81"/>
    </row>
    <row r="160" spans="1:38" s="83" customFormat="1" ht="32.25" customHeight="1" x14ac:dyDescent="0.3">
      <c r="A160" s="80">
        <v>153</v>
      </c>
      <c r="B160" s="87" t="s">
        <v>196</v>
      </c>
      <c r="C160" s="87" t="s">
        <v>385</v>
      </c>
      <c r="D160" s="138" t="s">
        <v>416</v>
      </c>
      <c r="E160" s="116">
        <v>22</v>
      </c>
      <c r="F160" s="116">
        <v>3</v>
      </c>
      <c r="G160" s="116"/>
      <c r="H160" s="84" t="s">
        <v>731</v>
      </c>
      <c r="I160" s="166" t="s">
        <v>376</v>
      </c>
      <c r="J160" s="23"/>
      <c r="K160" s="140" t="s">
        <v>372</v>
      </c>
      <c r="L160" s="166" t="s">
        <v>417</v>
      </c>
      <c r="M160" s="116">
        <v>1968</v>
      </c>
      <c r="N160" s="147" t="s">
        <v>303</v>
      </c>
      <c r="O160" s="116">
        <v>5</v>
      </c>
      <c r="P160" s="116">
        <v>0</v>
      </c>
      <c r="Q160" s="116">
        <v>7</v>
      </c>
      <c r="R160" s="116">
        <v>70</v>
      </c>
      <c r="S160" s="142">
        <v>3178.03</v>
      </c>
      <c r="T160" s="143">
        <f t="shared" si="3"/>
        <v>3178.03</v>
      </c>
      <c r="U160" s="142">
        <v>2319.33</v>
      </c>
      <c r="V160" s="142">
        <f t="shared" si="4"/>
        <v>858.70000000000027</v>
      </c>
      <c r="W160" s="144" t="s">
        <v>218</v>
      </c>
      <c r="X160" s="145" t="s">
        <v>218</v>
      </c>
      <c r="Y160" s="116" t="s">
        <v>218</v>
      </c>
      <c r="Z160" s="145" t="s">
        <v>218</v>
      </c>
      <c r="AA160" s="116" t="s">
        <v>218</v>
      </c>
      <c r="AB160" s="145" t="str">
        <f t="shared" si="5"/>
        <v>да</v>
      </c>
      <c r="AC160" s="116" t="s">
        <v>219</v>
      </c>
      <c r="AD160" s="116" t="s">
        <v>218</v>
      </c>
      <c r="AE160" s="116" t="s">
        <v>219</v>
      </c>
      <c r="AF160" s="145">
        <v>0</v>
      </c>
      <c r="AG160" s="116">
        <v>1</v>
      </c>
      <c r="AH160" s="132">
        <v>1</v>
      </c>
      <c r="AI160" s="116">
        <v>1</v>
      </c>
      <c r="AJ160" s="116">
        <f>'[1]ТЭ (прил. 2.1)'!AY163</f>
        <v>1</v>
      </c>
      <c r="AK160" s="116">
        <v>0</v>
      </c>
      <c r="AL160" s="81"/>
    </row>
    <row r="161" spans="1:38" s="83" customFormat="1" ht="32.25" customHeight="1" x14ac:dyDescent="0.3">
      <c r="A161" s="114">
        <v>154</v>
      </c>
      <c r="B161" s="87" t="s">
        <v>196</v>
      </c>
      <c r="C161" s="87" t="s">
        <v>385</v>
      </c>
      <c r="D161" s="138" t="s">
        <v>416</v>
      </c>
      <c r="E161" s="116">
        <v>22</v>
      </c>
      <c r="F161" s="116">
        <v>4</v>
      </c>
      <c r="G161" s="116"/>
      <c r="H161" s="84" t="s">
        <v>732</v>
      </c>
      <c r="I161" s="166" t="s">
        <v>376</v>
      </c>
      <c r="J161" s="23"/>
      <c r="K161" s="140" t="s">
        <v>372</v>
      </c>
      <c r="L161" s="166" t="s">
        <v>417</v>
      </c>
      <c r="M161" s="116">
        <v>1968</v>
      </c>
      <c r="N161" s="147" t="s">
        <v>303</v>
      </c>
      <c r="O161" s="116">
        <v>5</v>
      </c>
      <c r="P161" s="116">
        <v>0</v>
      </c>
      <c r="Q161" s="116">
        <v>7</v>
      </c>
      <c r="R161" s="116">
        <v>70</v>
      </c>
      <c r="S161" s="142">
        <v>3933.08</v>
      </c>
      <c r="T161" s="143">
        <f t="shared" si="3"/>
        <v>3933.08</v>
      </c>
      <c r="U161" s="142">
        <v>2347.71</v>
      </c>
      <c r="V161" s="142">
        <f t="shared" si="4"/>
        <v>1585.37</v>
      </c>
      <c r="W161" s="144" t="s">
        <v>218</v>
      </c>
      <c r="X161" s="145" t="s">
        <v>218</v>
      </c>
      <c r="Y161" s="116" t="s">
        <v>218</v>
      </c>
      <c r="Z161" s="145" t="s">
        <v>218</v>
      </c>
      <c r="AA161" s="116" t="s">
        <v>218</v>
      </c>
      <c r="AB161" s="145" t="str">
        <f t="shared" si="5"/>
        <v>да</v>
      </c>
      <c r="AC161" s="116" t="s">
        <v>219</v>
      </c>
      <c r="AD161" s="116" t="s">
        <v>218</v>
      </c>
      <c r="AE161" s="116" t="s">
        <v>219</v>
      </c>
      <c r="AF161" s="145">
        <v>0</v>
      </c>
      <c r="AG161" s="116">
        <v>1</v>
      </c>
      <c r="AH161" s="132">
        <v>1</v>
      </c>
      <c r="AI161" s="116">
        <v>1</v>
      </c>
      <c r="AJ161" s="116">
        <f>'[1]ТЭ (прил. 2.1)'!AY164</f>
        <v>1</v>
      </c>
      <c r="AK161" s="116">
        <v>0</v>
      </c>
      <c r="AL161" s="81"/>
    </row>
    <row r="162" spans="1:38" s="83" customFormat="1" ht="32.25" customHeight="1" x14ac:dyDescent="0.3">
      <c r="A162" s="5">
        <v>155</v>
      </c>
      <c r="B162" s="87" t="s">
        <v>196</v>
      </c>
      <c r="C162" s="87" t="s">
        <v>385</v>
      </c>
      <c r="D162" s="138" t="s">
        <v>416</v>
      </c>
      <c r="E162" s="116">
        <v>22</v>
      </c>
      <c r="F162" s="116">
        <v>5</v>
      </c>
      <c r="G162" s="116"/>
      <c r="H162" s="84" t="s">
        <v>733</v>
      </c>
      <c r="I162" s="166" t="s">
        <v>376</v>
      </c>
      <c r="J162" s="23"/>
      <c r="K162" s="140" t="s">
        <v>372</v>
      </c>
      <c r="L162" s="166" t="s">
        <v>418</v>
      </c>
      <c r="M162" s="116">
        <v>1968</v>
      </c>
      <c r="N162" s="147" t="s">
        <v>303</v>
      </c>
      <c r="O162" s="116">
        <v>5</v>
      </c>
      <c r="P162" s="116">
        <v>0</v>
      </c>
      <c r="Q162" s="116">
        <v>7</v>
      </c>
      <c r="R162" s="116">
        <v>70</v>
      </c>
      <c r="S162" s="142">
        <v>3394.98</v>
      </c>
      <c r="T162" s="143">
        <f t="shared" si="3"/>
        <v>3394.98</v>
      </c>
      <c r="U162" s="142">
        <v>2481.42</v>
      </c>
      <c r="V162" s="142">
        <f t="shared" si="4"/>
        <v>913.56</v>
      </c>
      <c r="W162" s="144" t="s">
        <v>218</v>
      </c>
      <c r="X162" s="145" t="s">
        <v>218</v>
      </c>
      <c r="Y162" s="116" t="s">
        <v>218</v>
      </c>
      <c r="Z162" s="145" t="s">
        <v>218</v>
      </c>
      <c r="AA162" s="116" t="s">
        <v>218</v>
      </c>
      <c r="AB162" s="145" t="str">
        <f t="shared" si="5"/>
        <v>да</v>
      </c>
      <c r="AC162" s="116" t="s">
        <v>219</v>
      </c>
      <c r="AD162" s="116" t="s">
        <v>218</v>
      </c>
      <c r="AE162" s="116" t="s">
        <v>219</v>
      </c>
      <c r="AF162" s="145">
        <v>0</v>
      </c>
      <c r="AG162" s="116">
        <v>1</v>
      </c>
      <c r="AH162" s="132">
        <v>1</v>
      </c>
      <c r="AI162" s="116">
        <v>1</v>
      </c>
      <c r="AJ162" s="116">
        <f>'[1]ТЭ (прил. 2.1)'!AY165</f>
        <v>1</v>
      </c>
      <c r="AK162" s="116">
        <v>0</v>
      </c>
      <c r="AL162" s="81"/>
    </row>
    <row r="163" spans="1:38" s="83" customFormat="1" ht="32.25" customHeight="1" x14ac:dyDescent="0.3">
      <c r="A163" s="80">
        <v>156</v>
      </c>
      <c r="B163" s="87" t="s">
        <v>196</v>
      </c>
      <c r="C163" s="87" t="s">
        <v>388</v>
      </c>
      <c r="D163" s="138" t="s">
        <v>416</v>
      </c>
      <c r="E163" s="116">
        <v>23</v>
      </c>
      <c r="F163" s="116" t="s">
        <v>245</v>
      </c>
      <c r="G163" s="116"/>
      <c r="H163" s="84" t="s">
        <v>734</v>
      </c>
      <c r="I163" s="166" t="s">
        <v>376</v>
      </c>
      <c r="J163" s="23"/>
      <c r="K163" s="146" t="s">
        <v>199</v>
      </c>
      <c r="L163" s="166" t="s">
        <v>378</v>
      </c>
      <c r="M163" s="116">
        <v>1967</v>
      </c>
      <c r="N163" s="147" t="s">
        <v>303</v>
      </c>
      <c r="O163" s="116">
        <v>9</v>
      </c>
      <c r="P163" s="116">
        <v>0</v>
      </c>
      <c r="Q163" s="116">
        <v>6</v>
      </c>
      <c r="R163" s="116">
        <v>217</v>
      </c>
      <c r="S163" s="142">
        <v>11231.2</v>
      </c>
      <c r="T163" s="143">
        <f t="shared" si="3"/>
        <v>11231.2</v>
      </c>
      <c r="U163" s="142">
        <v>7396.09</v>
      </c>
      <c r="V163" s="142">
        <f t="shared" si="4"/>
        <v>3835.1100000000006</v>
      </c>
      <c r="W163" s="144" t="s">
        <v>218</v>
      </c>
      <c r="X163" s="145" t="s">
        <v>218</v>
      </c>
      <c r="Y163" s="116" t="s">
        <v>218</v>
      </c>
      <c r="Z163" s="145" t="s">
        <v>218</v>
      </c>
      <c r="AA163" s="116" t="s">
        <v>218</v>
      </c>
      <c r="AB163" s="145" t="str">
        <f t="shared" si="5"/>
        <v>да</v>
      </c>
      <c r="AC163" s="116" t="s">
        <v>219</v>
      </c>
      <c r="AD163" s="116" t="s">
        <v>218</v>
      </c>
      <c r="AE163" s="116" t="s">
        <v>219</v>
      </c>
      <c r="AF163" s="145">
        <v>6</v>
      </c>
      <c r="AG163" s="116">
        <v>2</v>
      </c>
      <c r="AH163" s="132">
        <v>2</v>
      </c>
      <c r="AI163" s="116">
        <v>1</v>
      </c>
      <c r="AJ163" s="116">
        <f>'[1]ТЭ (прил. 2.1)'!AY166</f>
        <v>1</v>
      </c>
      <c r="AK163" s="116">
        <v>0</v>
      </c>
      <c r="AL163" s="81"/>
    </row>
    <row r="164" spans="1:38" s="83" customFormat="1" ht="32.25" customHeight="1" x14ac:dyDescent="0.3">
      <c r="A164" s="114">
        <v>157</v>
      </c>
      <c r="B164" s="87" t="s">
        <v>196</v>
      </c>
      <c r="C164" s="87" t="s">
        <v>385</v>
      </c>
      <c r="D164" s="138" t="s">
        <v>416</v>
      </c>
      <c r="E164" s="116">
        <v>26</v>
      </c>
      <c r="F164" s="116">
        <v>1</v>
      </c>
      <c r="G164" s="116"/>
      <c r="H164" s="84" t="s">
        <v>735</v>
      </c>
      <c r="I164" s="166" t="s">
        <v>376</v>
      </c>
      <c r="J164" s="23"/>
      <c r="K164" s="146" t="s">
        <v>199</v>
      </c>
      <c r="L164" s="166" t="s">
        <v>378</v>
      </c>
      <c r="M164" s="116">
        <v>1969</v>
      </c>
      <c r="N164" s="147" t="s">
        <v>303</v>
      </c>
      <c r="O164" s="116">
        <v>9</v>
      </c>
      <c r="P164" s="116">
        <v>0</v>
      </c>
      <c r="Q164" s="116">
        <v>6</v>
      </c>
      <c r="R164" s="116">
        <v>218</v>
      </c>
      <c r="S164" s="142">
        <v>11309.9</v>
      </c>
      <c r="T164" s="143">
        <f t="shared" si="3"/>
        <v>11309.9</v>
      </c>
      <c r="U164" s="142">
        <v>7445.12</v>
      </c>
      <c r="V164" s="142">
        <f t="shared" si="4"/>
        <v>3864.7799999999997</v>
      </c>
      <c r="W164" s="144" t="s">
        <v>218</v>
      </c>
      <c r="X164" s="145" t="s">
        <v>218</v>
      </c>
      <c r="Y164" s="116" t="s">
        <v>218</v>
      </c>
      <c r="Z164" s="145" t="s">
        <v>218</v>
      </c>
      <c r="AA164" s="116" t="s">
        <v>218</v>
      </c>
      <c r="AB164" s="145" t="str">
        <f t="shared" si="5"/>
        <v>да</v>
      </c>
      <c r="AC164" s="116" t="s">
        <v>219</v>
      </c>
      <c r="AD164" s="116" t="s">
        <v>218</v>
      </c>
      <c r="AE164" s="116" t="s">
        <v>219</v>
      </c>
      <c r="AF164" s="145">
        <v>6</v>
      </c>
      <c r="AG164" s="116">
        <v>2</v>
      </c>
      <c r="AH164" s="132">
        <v>1</v>
      </c>
      <c r="AI164" s="116">
        <v>1</v>
      </c>
      <c r="AJ164" s="116">
        <f>'[1]ТЭ (прил. 2.1)'!AY167</f>
        <v>1</v>
      </c>
      <c r="AK164" s="116">
        <v>0</v>
      </c>
      <c r="AL164" s="81"/>
    </row>
    <row r="165" spans="1:38" s="83" customFormat="1" ht="32.25" customHeight="1" x14ac:dyDescent="0.3">
      <c r="A165" s="5">
        <v>158</v>
      </c>
      <c r="B165" s="87" t="s">
        <v>196</v>
      </c>
      <c r="C165" s="87" t="s">
        <v>385</v>
      </c>
      <c r="D165" s="138" t="s">
        <v>416</v>
      </c>
      <c r="E165" s="116">
        <v>26</v>
      </c>
      <c r="F165" s="116">
        <v>2</v>
      </c>
      <c r="G165" s="116"/>
      <c r="H165" s="84" t="s">
        <v>736</v>
      </c>
      <c r="I165" s="166" t="s">
        <v>376</v>
      </c>
      <c r="J165" s="23"/>
      <c r="K165" s="140" t="s">
        <v>372</v>
      </c>
      <c r="L165" s="166" t="s">
        <v>419</v>
      </c>
      <c r="M165" s="116">
        <v>1968</v>
      </c>
      <c r="N165" s="147" t="s">
        <v>303</v>
      </c>
      <c r="O165" s="116">
        <v>5</v>
      </c>
      <c r="P165" s="116">
        <v>0</v>
      </c>
      <c r="Q165" s="116">
        <v>7</v>
      </c>
      <c r="R165" s="116">
        <v>70</v>
      </c>
      <c r="S165" s="142">
        <v>3164.75</v>
      </c>
      <c r="T165" s="143">
        <f t="shared" si="3"/>
        <v>3164.75</v>
      </c>
      <c r="U165" s="142">
        <v>2342.2199999999998</v>
      </c>
      <c r="V165" s="142">
        <f t="shared" si="4"/>
        <v>822.5300000000002</v>
      </c>
      <c r="W165" s="144" t="s">
        <v>218</v>
      </c>
      <c r="X165" s="145" t="s">
        <v>218</v>
      </c>
      <c r="Y165" s="116" t="s">
        <v>218</v>
      </c>
      <c r="Z165" s="145" t="s">
        <v>218</v>
      </c>
      <c r="AA165" s="116" t="s">
        <v>218</v>
      </c>
      <c r="AB165" s="145" t="str">
        <f t="shared" si="5"/>
        <v>да</v>
      </c>
      <c r="AC165" s="116" t="s">
        <v>219</v>
      </c>
      <c r="AD165" s="116" t="s">
        <v>218</v>
      </c>
      <c r="AE165" s="116" t="s">
        <v>219</v>
      </c>
      <c r="AF165" s="145">
        <v>0</v>
      </c>
      <c r="AG165" s="116">
        <v>1</v>
      </c>
      <c r="AH165" s="132">
        <v>1</v>
      </c>
      <c r="AI165" s="116">
        <v>1</v>
      </c>
      <c r="AJ165" s="116">
        <f>'[1]ТЭ (прил. 2.1)'!AY168</f>
        <v>1</v>
      </c>
      <c r="AK165" s="116">
        <v>0</v>
      </c>
      <c r="AL165" s="81"/>
    </row>
    <row r="166" spans="1:38" s="83" customFormat="1" ht="32.25" customHeight="1" x14ac:dyDescent="0.3">
      <c r="A166" s="80">
        <v>159</v>
      </c>
      <c r="B166" s="87" t="s">
        <v>196</v>
      </c>
      <c r="C166" s="87" t="s">
        <v>385</v>
      </c>
      <c r="D166" s="138" t="s">
        <v>416</v>
      </c>
      <c r="E166" s="116">
        <v>26</v>
      </c>
      <c r="F166" s="116">
        <v>3</v>
      </c>
      <c r="G166" s="116"/>
      <c r="H166" s="84" t="s">
        <v>737</v>
      </c>
      <c r="I166" s="166" t="s">
        <v>376</v>
      </c>
      <c r="J166" s="23"/>
      <c r="K166" s="140" t="s">
        <v>372</v>
      </c>
      <c r="L166" s="166" t="s">
        <v>419</v>
      </c>
      <c r="M166" s="116">
        <v>1968</v>
      </c>
      <c r="N166" s="147" t="s">
        <v>303</v>
      </c>
      <c r="O166" s="116">
        <v>5</v>
      </c>
      <c r="P166" s="116">
        <v>0</v>
      </c>
      <c r="Q166" s="116">
        <v>7</v>
      </c>
      <c r="R166" s="116">
        <v>70</v>
      </c>
      <c r="S166" s="142">
        <v>3317.19</v>
      </c>
      <c r="T166" s="143">
        <f t="shared" si="3"/>
        <v>3317.19</v>
      </c>
      <c r="U166" s="142">
        <v>2415.59</v>
      </c>
      <c r="V166" s="142">
        <f t="shared" si="4"/>
        <v>901.59999999999991</v>
      </c>
      <c r="W166" s="144" t="s">
        <v>218</v>
      </c>
      <c r="X166" s="145" t="s">
        <v>218</v>
      </c>
      <c r="Y166" s="116" t="s">
        <v>218</v>
      </c>
      <c r="Z166" s="145" t="s">
        <v>218</v>
      </c>
      <c r="AA166" s="116" t="s">
        <v>218</v>
      </c>
      <c r="AB166" s="145" t="str">
        <f t="shared" si="5"/>
        <v>да</v>
      </c>
      <c r="AC166" s="116" t="s">
        <v>219</v>
      </c>
      <c r="AD166" s="116" t="s">
        <v>218</v>
      </c>
      <c r="AE166" s="116" t="s">
        <v>219</v>
      </c>
      <c r="AF166" s="145">
        <v>0</v>
      </c>
      <c r="AG166" s="116">
        <v>1</v>
      </c>
      <c r="AH166" s="132">
        <v>1</v>
      </c>
      <c r="AI166" s="116">
        <v>1</v>
      </c>
      <c r="AJ166" s="116">
        <f>'[1]ТЭ (прил. 2.1)'!AY169</f>
        <v>1</v>
      </c>
      <c r="AK166" s="116">
        <v>0</v>
      </c>
      <c r="AL166" s="81"/>
    </row>
    <row r="167" spans="1:38" s="83" customFormat="1" ht="32.25" customHeight="1" x14ac:dyDescent="0.3">
      <c r="A167" s="114">
        <v>160</v>
      </c>
      <c r="B167" s="87" t="s">
        <v>196</v>
      </c>
      <c r="C167" s="87" t="s">
        <v>385</v>
      </c>
      <c r="D167" s="138" t="s">
        <v>416</v>
      </c>
      <c r="E167" s="116">
        <v>26</v>
      </c>
      <c r="F167" s="116">
        <v>4</v>
      </c>
      <c r="G167" s="116"/>
      <c r="H167" s="84" t="s">
        <v>738</v>
      </c>
      <c r="I167" s="166" t="s">
        <v>376</v>
      </c>
      <c r="J167" s="23"/>
      <c r="K167" s="140" t="s">
        <v>372</v>
      </c>
      <c r="L167" s="166" t="s">
        <v>419</v>
      </c>
      <c r="M167" s="116">
        <v>1968</v>
      </c>
      <c r="N167" s="147" t="s">
        <v>303</v>
      </c>
      <c r="O167" s="116">
        <v>5</v>
      </c>
      <c r="P167" s="116">
        <v>0</v>
      </c>
      <c r="Q167" s="116">
        <v>7</v>
      </c>
      <c r="R167" s="116">
        <v>70</v>
      </c>
      <c r="S167" s="142">
        <v>3152.32</v>
      </c>
      <c r="T167" s="143">
        <f t="shared" si="3"/>
        <v>3152.32</v>
      </c>
      <c r="U167" s="142">
        <v>2324.9699999999998</v>
      </c>
      <c r="V167" s="142">
        <f t="shared" si="4"/>
        <v>827.35000000000036</v>
      </c>
      <c r="W167" s="144" t="s">
        <v>218</v>
      </c>
      <c r="X167" s="145" t="s">
        <v>218</v>
      </c>
      <c r="Y167" s="116" t="s">
        <v>218</v>
      </c>
      <c r="Z167" s="145" t="s">
        <v>218</v>
      </c>
      <c r="AA167" s="116" t="s">
        <v>218</v>
      </c>
      <c r="AB167" s="145" t="str">
        <f t="shared" si="5"/>
        <v>да</v>
      </c>
      <c r="AC167" s="116" t="s">
        <v>219</v>
      </c>
      <c r="AD167" s="116" t="s">
        <v>218</v>
      </c>
      <c r="AE167" s="116" t="s">
        <v>219</v>
      </c>
      <c r="AF167" s="145">
        <v>0</v>
      </c>
      <c r="AG167" s="116">
        <v>1</v>
      </c>
      <c r="AH167" s="132">
        <v>1</v>
      </c>
      <c r="AI167" s="116">
        <v>1</v>
      </c>
      <c r="AJ167" s="116">
        <f>'[1]ТЭ (прил. 2.1)'!AY170</f>
        <v>1</v>
      </c>
      <c r="AK167" s="116">
        <v>0</v>
      </c>
      <c r="AL167" s="81"/>
    </row>
    <row r="168" spans="1:38" s="83" customFormat="1" ht="32.25" customHeight="1" x14ac:dyDescent="0.3">
      <c r="A168" s="5">
        <v>161</v>
      </c>
      <c r="B168" s="87" t="s">
        <v>196</v>
      </c>
      <c r="C168" s="87" t="s">
        <v>388</v>
      </c>
      <c r="D168" s="138" t="s">
        <v>416</v>
      </c>
      <c r="E168" s="116">
        <v>5</v>
      </c>
      <c r="F168" s="116" t="s">
        <v>245</v>
      </c>
      <c r="G168" s="116"/>
      <c r="H168" s="84" t="s">
        <v>739</v>
      </c>
      <c r="I168" s="166" t="s">
        <v>376</v>
      </c>
      <c r="J168" s="23"/>
      <c r="K168" s="146" t="s">
        <v>303</v>
      </c>
      <c r="L168" s="166" t="s">
        <v>369</v>
      </c>
      <c r="M168" s="116">
        <v>1967</v>
      </c>
      <c r="N168" s="147" t="s">
        <v>377</v>
      </c>
      <c r="O168" s="116">
        <v>9</v>
      </c>
      <c r="P168" s="116">
        <v>0</v>
      </c>
      <c r="Q168" s="116">
        <v>4</v>
      </c>
      <c r="R168" s="116">
        <v>232</v>
      </c>
      <c r="S168" s="142">
        <v>11227.6</v>
      </c>
      <c r="T168" s="143">
        <f t="shared" si="3"/>
        <v>11227.6</v>
      </c>
      <c r="U168" s="142">
        <v>7095.81</v>
      </c>
      <c r="V168" s="142">
        <f t="shared" si="4"/>
        <v>4131.79</v>
      </c>
      <c r="W168" s="144" t="s">
        <v>218</v>
      </c>
      <c r="X168" s="145" t="s">
        <v>218</v>
      </c>
      <c r="Y168" s="116" t="s">
        <v>218</v>
      </c>
      <c r="Z168" s="145" t="s">
        <v>218</v>
      </c>
      <c r="AA168" s="116" t="s">
        <v>218</v>
      </c>
      <c r="AB168" s="145" t="str">
        <f t="shared" si="5"/>
        <v>да</v>
      </c>
      <c r="AC168" s="116" t="s">
        <v>219</v>
      </c>
      <c r="AD168" s="116" t="s">
        <v>218</v>
      </c>
      <c r="AE168" s="116" t="s">
        <v>219</v>
      </c>
      <c r="AF168" s="145">
        <v>4</v>
      </c>
      <c r="AG168" s="116">
        <v>2</v>
      </c>
      <c r="AH168" s="132">
        <v>1</v>
      </c>
      <c r="AI168" s="116">
        <v>2</v>
      </c>
      <c r="AJ168" s="116">
        <f>'[1]ТЭ (прил. 2.1)'!AY171</f>
        <v>5</v>
      </c>
      <c r="AK168" s="116">
        <v>0</v>
      </c>
      <c r="AL168" s="81"/>
    </row>
    <row r="169" spans="1:38" s="83" customFormat="1" ht="32.25" customHeight="1" x14ac:dyDescent="0.3">
      <c r="A169" s="80">
        <v>162</v>
      </c>
      <c r="B169" s="87" t="s">
        <v>196</v>
      </c>
      <c r="C169" s="87" t="s">
        <v>388</v>
      </c>
      <c r="D169" s="138" t="s">
        <v>416</v>
      </c>
      <c r="E169" s="116">
        <v>7</v>
      </c>
      <c r="F169" s="116">
        <v>1</v>
      </c>
      <c r="G169" s="116"/>
      <c r="H169" s="84" t="s">
        <v>740</v>
      </c>
      <c r="I169" s="166" t="s">
        <v>376</v>
      </c>
      <c r="J169" s="23"/>
      <c r="K169" s="146" t="s">
        <v>303</v>
      </c>
      <c r="L169" s="166" t="s">
        <v>378</v>
      </c>
      <c r="M169" s="116">
        <v>1968</v>
      </c>
      <c r="N169" s="147" t="s">
        <v>303</v>
      </c>
      <c r="O169" s="116">
        <v>9</v>
      </c>
      <c r="P169" s="116">
        <v>0</v>
      </c>
      <c r="Q169" s="116">
        <v>6</v>
      </c>
      <c r="R169" s="116">
        <v>218</v>
      </c>
      <c r="S169" s="142">
        <v>11298.17</v>
      </c>
      <c r="T169" s="143">
        <f t="shared" si="3"/>
        <v>11298.17</v>
      </c>
      <c r="U169" s="142">
        <v>7347.6</v>
      </c>
      <c r="V169" s="142">
        <f t="shared" si="4"/>
        <v>3950.5699999999997</v>
      </c>
      <c r="W169" s="144" t="s">
        <v>218</v>
      </c>
      <c r="X169" s="145" t="s">
        <v>218</v>
      </c>
      <c r="Y169" s="116" t="s">
        <v>218</v>
      </c>
      <c r="Z169" s="145" t="s">
        <v>218</v>
      </c>
      <c r="AA169" s="116" t="s">
        <v>218</v>
      </c>
      <c r="AB169" s="145" t="str">
        <f t="shared" si="5"/>
        <v>да</v>
      </c>
      <c r="AC169" s="116" t="s">
        <v>219</v>
      </c>
      <c r="AD169" s="116" t="s">
        <v>218</v>
      </c>
      <c r="AE169" s="116" t="s">
        <v>219</v>
      </c>
      <c r="AF169" s="145">
        <v>6</v>
      </c>
      <c r="AG169" s="116">
        <v>2</v>
      </c>
      <c r="AH169" s="132">
        <v>1</v>
      </c>
      <c r="AI169" s="116">
        <v>1</v>
      </c>
      <c r="AJ169" s="116">
        <f>'[1]ТЭ (прил. 2.1)'!AY172</f>
        <v>1</v>
      </c>
      <c r="AK169" s="116">
        <v>0</v>
      </c>
      <c r="AL169" s="81"/>
    </row>
    <row r="170" spans="1:38" s="83" customFormat="1" ht="32.25" customHeight="1" x14ac:dyDescent="0.3">
      <c r="A170" s="114">
        <v>163</v>
      </c>
      <c r="B170" s="87" t="s">
        <v>196</v>
      </c>
      <c r="C170" s="87" t="s">
        <v>388</v>
      </c>
      <c r="D170" s="138" t="s">
        <v>416</v>
      </c>
      <c r="E170" s="116">
        <v>7</v>
      </c>
      <c r="F170" s="116">
        <v>2</v>
      </c>
      <c r="G170" s="116"/>
      <c r="H170" s="84" t="s">
        <v>741</v>
      </c>
      <c r="I170" s="166" t="s">
        <v>376</v>
      </c>
      <c r="J170" s="23"/>
      <c r="K170" s="146" t="s">
        <v>303</v>
      </c>
      <c r="L170" s="166" t="s">
        <v>417</v>
      </c>
      <c r="M170" s="116">
        <v>1966</v>
      </c>
      <c r="N170" s="147" t="s">
        <v>303</v>
      </c>
      <c r="O170" s="116">
        <v>5</v>
      </c>
      <c r="P170" s="116">
        <v>0</v>
      </c>
      <c r="Q170" s="116">
        <v>7</v>
      </c>
      <c r="R170" s="116">
        <v>70</v>
      </c>
      <c r="S170" s="142">
        <v>3259.1</v>
      </c>
      <c r="T170" s="143">
        <f t="shared" si="3"/>
        <v>3259.1</v>
      </c>
      <c r="U170" s="142">
        <v>2328.6999999999998</v>
      </c>
      <c r="V170" s="142">
        <f t="shared" si="4"/>
        <v>930.40000000000009</v>
      </c>
      <c r="W170" s="144" t="s">
        <v>218</v>
      </c>
      <c r="X170" s="145" t="s">
        <v>218</v>
      </c>
      <c r="Y170" s="116" t="s">
        <v>218</v>
      </c>
      <c r="Z170" s="145" t="s">
        <v>218</v>
      </c>
      <c r="AA170" s="116" t="s">
        <v>218</v>
      </c>
      <c r="AB170" s="145" t="str">
        <f t="shared" si="5"/>
        <v>да</v>
      </c>
      <c r="AC170" s="116" t="s">
        <v>219</v>
      </c>
      <c r="AD170" s="116" t="s">
        <v>218</v>
      </c>
      <c r="AE170" s="116" t="s">
        <v>219</v>
      </c>
      <c r="AF170" s="145">
        <v>0</v>
      </c>
      <c r="AG170" s="116">
        <v>1</v>
      </c>
      <c r="AH170" s="132">
        <v>1</v>
      </c>
      <c r="AI170" s="116">
        <v>1</v>
      </c>
      <c r="AJ170" s="116">
        <f>'[1]ТЭ (прил. 2.1)'!AY173</f>
        <v>1</v>
      </c>
      <c r="AK170" s="116">
        <v>0</v>
      </c>
      <c r="AL170" s="81"/>
    </row>
    <row r="171" spans="1:38" s="83" customFormat="1" ht="32.25" customHeight="1" x14ac:dyDescent="0.3">
      <c r="A171" s="5">
        <v>164</v>
      </c>
      <c r="B171" s="87" t="s">
        <v>196</v>
      </c>
      <c r="C171" s="87" t="s">
        <v>388</v>
      </c>
      <c r="D171" s="138" t="s">
        <v>416</v>
      </c>
      <c r="E171" s="116">
        <v>7</v>
      </c>
      <c r="F171" s="116">
        <v>3</v>
      </c>
      <c r="G171" s="116"/>
      <c r="H171" s="84" t="s">
        <v>742</v>
      </c>
      <c r="I171" s="166" t="s">
        <v>376</v>
      </c>
      <c r="J171" s="23"/>
      <c r="K171" s="146" t="s">
        <v>303</v>
      </c>
      <c r="L171" s="166" t="s">
        <v>417</v>
      </c>
      <c r="M171" s="116">
        <v>1966</v>
      </c>
      <c r="N171" s="147" t="s">
        <v>303</v>
      </c>
      <c r="O171" s="116">
        <v>5</v>
      </c>
      <c r="P171" s="116">
        <v>0</v>
      </c>
      <c r="Q171" s="116">
        <v>7</v>
      </c>
      <c r="R171" s="116">
        <v>70</v>
      </c>
      <c r="S171" s="142">
        <v>3206.9999999999995</v>
      </c>
      <c r="T171" s="143">
        <f t="shared" si="3"/>
        <v>3206.9999999999995</v>
      </c>
      <c r="U171" s="142">
        <v>2342.94</v>
      </c>
      <c r="V171" s="142">
        <f t="shared" si="4"/>
        <v>864.05999999999949</v>
      </c>
      <c r="W171" s="144" t="s">
        <v>218</v>
      </c>
      <c r="X171" s="145" t="s">
        <v>218</v>
      </c>
      <c r="Y171" s="116" t="s">
        <v>218</v>
      </c>
      <c r="Z171" s="145" t="s">
        <v>218</v>
      </c>
      <c r="AA171" s="116" t="s">
        <v>218</v>
      </c>
      <c r="AB171" s="145" t="str">
        <f t="shared" si="5"/>
        <v>да</v>
      </c>
      <c r="AC171" s="116" t="s">
        <v>219</v>
      </c>
      <c r="AD171" s="116" t="s">
        <v>218</v>
      </c>
      <c r="AE171" s="116" t="s">
        <v>219</v>
      </c>
      <c r="AF171" s="145">
        <v>0</v>
      </c>
      <c r="AG171" s="116">
        <v>1</v>
      </c>
      <c r="AH171" s="132">
        <v>1</v>
      </c>
      <c r="AI171" s="116">
        <v>1</v>
      </c>
      <c r="AJ171" s="116">
        <f>'[1]ТЭ (прил. 2.1)'!AY174</f>
        <v>0</v>
      </c>
      <c r="AK171" s="116">
        <v>0</v>
      </c>
      <c r="AL171" s="81"/>
    </row>
    <row r="172" spans="1:38" s="83" customFormat="1" ht="32.25" customHeight="1" x14ac:dyDescent="0.3">
      <c r="A172" s="80">
        <v>165</v>
      </c>
      <c r="B172" s="87" t="s">
        <v>196</v>
      </c>
      <c r="C172" s="87" t="s">
        <v>388</v>
      </c>
      <c r="D172" s="138" t="s">
        <v>416</v>
      </c>
      <c r="E172" s="116">
        <v>7</v>
      </c>
      <c r="F172" s="116">
        <v>4</v>
      </c>
      <c r="G172" s="116"/>
      <c r="H172" s="84" t="s">
        <v>743</v>
      </c>
      <c r="I172" s="166" t="s">
        <v>376</v>
      </c>
      <c r="J172" s="23"/>
      <c r="K172" s="146" t="s">
        <v>303</v>
      </c>
      <c r="L172" s="166" t="s">
        <v>417</v>
      </c>
      <c r="M172" s="116">
        <v>1966</v>
      </c>
      <c r="N172" s="147" t="s">
        <v>303</v>
      </c>
      <c r="O172" s="116">
        <v>5</v>
      </c>
      <c r="P172" s="116">
        <v>0</v>
      </c>
      <c r="Q172" s="116">
        <v>7</v>
      </c>
      <c r="R172" s="116">
        <v>71</v>
      </c>
      <c r="S172" s="142">
        <v>3299.7</v>
      </c>
      <c r="T172" s="143">
        <f t="shared" si="3"/>
        <v>3299.7</v>
      </c>
      <c r="U172" s="142">
        <v>2345.6999999999998</v>
      </c>
      <c r="V172" s="142">
        <f t="shared" si="4"/>
        <v>954</v>
      </c>
      <c r="W172" s="144" t="s">
        <v>218</v>
      </c>
      <c r="X172" s="145" t="s">
        <v>218</v>
      </c>
      <c r="Y172" s="116" t="s">
        <v>218</v>
      </c>
      <c r="Z172" s="145" t="s">
        <v>218</v>
      </c>
      <c r="AA172" s="116" t="s">
        <v>218</v>
      </c>
      <c r="AB172" s="145" t="str">
        <f t="shared" si="5"/>
        <v>да</v>
      </c>
      <c r="AC172" s="116" t="s">
        <v>219</v>
      </c>
      <c r="AD172" s="116" t="s">
        <v>218</v>
      </c>
      <c r="AE172" s="116" t="s">
        <v>219</v>
      </c>
      <c r="AF172" s="145">
        <v>0</v>
      </c>
      <c r="AG172" s="116">
        <v>1</v>
      </c>
      <c r="AH172" s="132">
        <v>1</v>
      </c>
      <c r="AI172" s="116">
        <v>1</v>
      </c>
      <c r="AJ172" s="116">
        <f>'[1]ТЭ (прил. 2.1)'!AY175</f>
        <v>0</v>
      </c>
      <c r="AK172" s="116">
        <v>0</v>
      </c>
      <c r="AL172" s="81"/>
    </row>
    <row r="173" spans="1:38" s="83" customFormat="1" ht="32.25" customHeight="1" x14ac:dyDescent="0.3">
      <c r="A173" s="114">
        <v>166</v>
      </c>
      <c r="B173" s="87" t="s">
        <v>196</v>
      </c>
      <c r="C173" s="87" t="s">
        <v>388</v>
      </c>
      <c r="D173" s="138" t="s">
        <v>416</v>
      </c>
      <c r="E173" s="116">
        <v>7</v>
      </c>
      <c r="F173" s="116">
        <v>5</v>
      </c>
      <c r="G173" s="116"/>
      <c r="H173" s="84" t="s">
        <v>744</v>
      </c>
      <c r="I173" s="166" t="s">
        <v>376</v>
      </c>
      <c r="J173" s="23"/>
      <c r="K173" s="146" t="s">
        <v>303</v>
      </c>
      <c r="L173" s="166" t="s">
        <v>417</v>
      </c>
      <c r="M173" s="116">
        <v>1966</v>
      </c>
      <c r="N173" s="147" t="s">
        <v>303</v>
      </c>
      <c r="O173" s="116">
        <v>5</v>
      </c>
      <c r="P173" s="116">
        <v>0</v>
      </c>
      <c r="Q173" s="116">
        <v>7</v>
      </c>
      <c r="R173" s="116">
        <v>70</v>
      </c>
      <c r="S173" s="142">
        <v>3263.1</v>
      </c>
      <c r="T173" s="143">
        <f t="shared" si="3"/>
        <v>3263.1</v>
      </c>
      <c r="U173" s="142">
        <v>2346.8000000000002</v>
      </c>
      <c r="V173" s="142">
        <f t="shared" si="4"/>
        <v>916.29999999999973</v>
      </c>
      <c r="W173" s="144" t="s">
        <v>218</v>
      </c>
      <c r="X173" s="145" t="s">
        <v>218</v>
      </c>
      <c r="Y173" s="116" t="s">
        <v>218</v>
      </c>
      <c r="Z173" s="145" t="s">
        <v>218</v>
      </c>
      <c r="AA173" s="116" t="s">
        <v>218</v>
      </c>
      <c r="AB173" s="145" t="str">
        <f t="shared" si="5"/>
        <v>да</v>
      </c>
      <c r="AC173" s="116" t="s">
        <v>219</v>
      </c>
      <c r="AD173" s="116" t="s">
        <v>218</v>
      </c>
      <c r="AE173" s="116" t="s">
        <v>219</v>
      </c>
      <c r="AF173" s="145">
        <v>0</v>
      </c>
      <c r="AG173" s="116">
        <v>1</v>
      </c>
      <c r="AH173" s="132">
        <v>1</v>
      </c>
      <c r="AI173" s="116">
        <v>1</v>
      </c>
      <c r="AJ173" s="116">
        <f>'[1]ТЭ (прил. 2.1)'!AY176</f>
        <v>0</v>
      </c>
      <c r="AK173" s="116">
        <v>0</v>
      </c>
      <c r="AL173" s="81"/>
    </row>
    <row r="174" spans="1:38" s="83" customFormat="1" ht="32.25" customHeight="1" x14ac:dyDescent="0.3">
      <c r="A174" s="5">
        <v>167</v>
      </c>
      <c r="B174" s="87" t="s">
        <v>196</v>
      </c>
      <c r="C174" s="87" t="s">
        <v>385</v>
      </c>
      <c r="D174" s="138" t="s">
        <v>416</v>
      </c>
      <c r="E174" s="116">
        <v>8</v>
      </c>
      <c r="F174" s="116" t="s">
        <v>245</v>
      </c>
      <c r="G174" s="116"/>
      <c r="H174" s="84" t="s">
        <v>745</v>
      </c>
      <c r="I174" s="166" t="s">
        <v>376</v>
      </c>
      <c r="J174" s="23" t="s">
        <v>308</v>
      </c>
      <c r="K174" s="146"/>
      <c r="L174" s="166"/>
      <c r="M174" s="116"/>
      <c r="N174" s="147"/>
      <c r="O174" s="116"/>
      <c r="P174" s="116"/>
      <c r="Q174" s="116"/>
      <c r="R174" s="116"/>
      <c r="S174" s="142"/>
      <c r="T174" s="143"/>
      <c r="U174" s="142"/>
      <c r="V174" s="142"/>
      <c r="W174" s="144"/>
      <c r="X174" s="145"/>
      <c r="Y174" s="116"/>
      <c r="Z174" s="145"/>
      <c r="AA174" s="116"/>
      <c r="AB174" s="145"/>
      <c r="AC174" s="116"/>
      <c r="AD174" s="116"/>
      <c r="AE174" s="116"/>
      <c r="AF174" s="145"/>
      <c r="AG174" s="116"/>
      <c r="AH174" s="132"/>
      <c r="AI174" s="116"/>
      <c r="AJ174" s="116"/>
      <c r="AK174" s="116"/>
      <c r="AL174" s="81"/>
    </row>
    <row r="175" spans="1:38" s="83" customFormat="1" ht="32.25" customHeight="1" x14ac:dyDescent="0.3">
      <c r="A175" s="80">
        <v>168</v>
      </c>
      <c r="B175" s="87" t="s">
        <v>196</v>
      </c>
      <c r="C175" s="87" t="s">
        <v>388</v>
      </c>
      <c r="D175" s="138" t="s">
        <v>416</v>
      </c>
      <c r="E175" s="116">
        <v>9</v>
      </c>
      <c r="F175" s="116">
        <v>1</v>
      </c>
      <c r="G175" s="116"/>
      <c r="H175" s="84" t="s">
        <v>746</v>
      </c>
      <c r="I175" s="166" t="s">
        <v>376</v>
      </c>
      <c r="J175" s="23"/>
      <c r="K175" s="146" t="s">
        <v>303</v>
      </c>
      <c r="L175" s="166" t="s">
        <v>368</v>
      </c>
      <c r="M175" s="116">
        <v>1973</v>
      </c>
      <c r="N175" s="147" t="s">
        <v>377</v>
      </c>
      <c r="O175" s="116">
        <v>9</v>
      </c>
      <c r="P175" s="116">
        <v>0</v>
      </c>
      <c r="Q175" s="116">
        <v>1</v>
      </c>
      <c r="R175" s="116">
        <v>45</v>
      </c>
      <c r="S175" s="142">
        <v>2121.1999999999998</v>
      </c>
      <c r="T175" s="143">
        <f t="shared" ref="T175:T225" si="6">S175</f>
        <v>2121.1999999999998</v>
      </c>
      <c r="U175" s="142">
        <v>1264.2</v>
      </c>
      <c r="V175" s="142">
        <f t="shared" ref="V175:V225" si="7">S175-U175</f>
        <v>856.99999999999977</v>
      </c>
      <c r="W175" s="144" t="s">
        <v>218</v>
      </c>
      <c r="X175" s="145" t="s">
        <v>218</v>
      </c>
      <c r="Y175" s="116" t="s">
        <v>218</v>
      </c>
      <c r="Z175" s="145" t="s">
        <v>218</v>
      </c>
      <c r="AA175" s="116" t="s">
        <v>218</v>
      </c>
      <c r="AB175" s="145" t="str">
        <f t="shared" ref="AB175:AB225" si="8">AD175</f>
        <v>да</v>
      </c>
      <c r="AC175" s="116" t="s">
        <v>219</v>
      </c>
      <c r="AD175" s="116" t="s">
        <v>218</v>
      </c>
      <c r="AE175" s="116" t="s">
        <v>219</v>
      </c>
      <c r="AF175" s="145">
        <v>1</v>
      </c>
      <c r="AG175" s="116">
        <v>2</v>
      </c>
      <c r="AH175" s="132">
        <v>1</v>
      </c>
      <c r="AI175" s="116">
        <v>1</v>
      </c>
      <c r="AJ175" s="116">
        <f>'[1]ТЭ (прил. 2.1)'!AY178</f>
        <v>0</v>
      </c>
      <c r="AK175" s="116">
        <v>0</v>
      </c>
      <c r="AL175" s="81"/>
    </row>
    <row r="176" spans="1:38" s="83" customFormat="1" ht="32.25" customHeight="1" x14ac:dyDescent="0.3">
      <c r="A176" s="114">
        <v>169</v>
      </c>
      <c r="B176" s="87" t="s">
        <v>196</v>
      </c>
      <c r="C176" s="87" t="s">
        <v>381</v>
      </c>
      <c r="D176" s="138" t="s">
        <v>420</v>
      </c>
      <c r="E176" s="116">
        <v>29</v>
      </c>
      <c r="F176" s="116">
        <v>1</v>
      </c>
      <c r="G176" s="116"/>
      <c r="H176" s="84" t="s">
        <v>747</v>
      </c>
      <c r="I176" s="166" t="s">
        <v>376</v>
      </c>
      <c r="J176" s="23" t="s">
        <v>308</v>
      </c>
      <c r="K176" s="146"/>
      <c r="L176" s="166"/>
      <c r="M176" s="116"/>
      <c r="N176" s="147"/>
      <c r="O176" s="116"/>
      <c r="P176" s="116"/>
      <c r="Q176" s="116"/>
      <c r="R176" s="116"/>
      <c r="S176" s="142"/>
      <c r="T176" s="143"/>
      <c r="U176" s="142"/>
      <c r="V176" s="142"/>
      <c r="W176" s="144"/>
      <c r="X176" s="145"/>
      <c r="Y176" s="116"/>
      <c r="Z176" s="145"/>
      <c r="AA176" s="116"/>
      <c r="AB176" s="145"/>
      <c r="AC176" s="116"/>
      <c r="AD176" s="116"/>
      <c r="AE176" s="116"/>
      <c r="AF176" s="145"/>
      <c r="AG176" s="116"/>
      <c r="AH176" s="132"/>
      <c r="AI176" s="116"/>
      <c r="AJ176" s="116"/>
      <c r="AK176" s="116"/>
      <c r="AL176" s="81"/>
    </row>
    <row r="177" spans="1:38" s="83" customFormat="1" ht="32.25" customHeight="1" x14ac:dyDescent="0.3">
      <c r="A177" s="5">
        <v>170</v>
      </c>
      <c r="B177" s="87" t="s">
        <v>196</v>
      </c>
      <c r="C177" s="87" t="s">
        <v>381</v>
      </c>
      <c r="D177" s="138" t="s">
        <v>421</v>
      </c>
      <c r="E177" s="116">
        <v>35</v>
      </c>
      <c r="F177" s="116">
        <v>1</v>
      </c>
      <c r="G177" s="116"/>
      <c r="H177" s="84" t="s">
        <v>748</v>
      </c>
      <c r="I177" s="166" t="s">
        <v>247</v>
      </c>
      <c r="J177" s="23" t="s">
        <v>422</v>
      </c>
      <c r="K177" s="146"/>
      <c r="L177" s="166"/>
      <c r="M177" s="116"/>
      <c r="N177" s="147"/>
      <c r="O177" s="116"/>
      <c r="P177" s="116"/>
      <c r="Q177" s="116"/>
      <c r="R177" s="116"/>
      <c r="S177" s="142"/>
      <c r="T177" s="143"/>
      <c r="U177" s="142"/>
      <c r="V177" s="142"/>
      <c r="W177" s="144"/>
      <c r="X177" s="145"/>
      <c r="Y177" s="116"/>
      <c r="Z177" s="145"/>
      <c r="AA177" s="116"/>
      <c r="AB177" s="145"/>
      <c r="AC177" s="116"/>
      <c r="AD177" s="116"/>
      <c r="AE177" s="116"/>
      <c r="AF177" s="145"/>
      <c r="AG177" s="116"/>
      <c r="AH177" s="132"/>
      <c r="AI177" s="116"/>
      <c r="AJ177" s="116"/>
      <c r="AK177" s="116"/>
      <c r="AL177" s="81"/>
    </row>
    <row r="178" spans="1:38" s="83" customFormat="1" ht="32.25" customHeight="1" x14ac:dyDescent="0.3">
      <c r="A178" s="80">
        <v>171</v>
      </c>
      <c r="B178" s="87" t="s">
        <v>196</v>
      </c>
      <c r="C178" s="87" t="s">
        <v>381</v>
      </c>
      <c r="D178" s="138" t="s">
        <v>421</v>
      </c>
      <c r="E178" s="116">
        <v>35</v>
      </c>
      <c r="F178" s="116">
        <v>3</v>
      </c>
      <c r="G178" s="116"/>
      <c r="H178" s="84" t="s">
        <v>749</v>
      </c>
      <c r="I178" s="166" t="s">
        <v>247</v>
      </c>
      <c r="J178" s="23" t="s">
        <v>423</v>
      </c>
      <c r="K178" s="146"/>
      <c r="L178" s="166"/>
      <c r="M178" s="116"/>
      <c r="N178" s="147"/>
      <c r="O178" s="116"/>
      <c r="P178" s="116"/>
      <c r="Q178" s="116"/>
      <c r="R178" s="116"/>
      <c r="S178" s="142"/>
      <c r="T178" s="143"/>
      <c r="U178" s="142"/>
      <c r="V178" s="142"/>
      <c r="W178" s="144"/>
      <c r="X178" s="145"/>
      <c r="Y178" s="116"/>
      <c r="Z178" s="145"/>
      <c r="AA178" s="116"/>
      <c r="AB178" s="145"/>
      <c r="AC178" s="116"/>
      <c r="AD178" s="116"/>
      <c r="AE178" s="116"/>
      <c r="AF178" s="145"/>
      <c r="AG178" s="116"/>
      <c r="AH178" s="132"/>
      <c r="AI178" s="116"/>
      <c r="AJ178" s="116"/>
      <c r="AK178" s="116"/>
      <c r="AL178" s="81"/>
    </row>
    <row r="179" spans="1:38" s="83" customFormat="1" ht="32.25" customHeight="1" x14ac:dyDescent="0.3">
      <c r="A179" s="114">
        <v>172</v>
      </c>
      <c r="B179" s="87" t="s">
        <v>196</v>
      </c>
      <c r="C179" s="87" t="s">
        <v>381</v>
      </c>
      <c r="D179" s="138" t="s">
        <v>421</v>
      </c>
      <c r="E179" s="116">
        <v>36</v>
      </c>
      <c r="F179" s="116">
        <v>3</v>
      </c>
      <c r="G179" s="116"/>
      <c r="H179" s="84" t="s">
        <v>750</v>
      </c>
      <c r="I179" s="166" t="s">
        <v>376</v>
      </c>
      <c r="J179" s="23"/>
      <c r="K179" s="146" t="s">
        <v>199</v>
      </c>
      <c r="L179" s="166">
        <v>137</v>
      </c>
      <c r="M179" s="116">
        <v>1983</v>
      </c>
      <c r="N179" s="147" t="s">
        <v>200</v>
      </c>
      <c r="O179" s="148" t="s">
        <v>201</v>
      </c>
      <c r="P179" s="116">
        <v>0</v>
      </c>
      <c r="Q179" s="116">
        <v>6</v>
      </c>
      <c r="R179" s="116">
        <v>473</v>
      </c>
      <c r="S179" s="142">
        <v>26593.03</v>
      </c>
      <c r="T179" s="143">
        <f t="shared" si="6"/>
        <v>26593.03</v>
      </c>
      <c r="U179" s="142">
        <v>14797.8</v>
      </c>
      <c r="V179" s="142">
        <f t="shared" si="7"/>
        <v>11795.23</v>
      </c>
      <c r="W179" s="144" t="s">
        <v>218</v>
      </c>
      <c r="X179" s="145" t="s">
        <v>218</v>
      </c>
      <c r="Y179" s="116" t="s">
        <v>218</v>
      </c>
      <c r="Z179" s="145" t="s">
        <v>218</v>
      </c>
      <c r="AA179" s="116" t="s">
        <v>218</v>
      </c>
      <c r="AB179" s="145" t="str">
        <f t="shared" si="8"/>
        <v>нет</v>
      </c>
      <c r="AC179" s="116" t="s">
        <v>219</v>
      </c>
      <c r="AD179" s="116" t="s">
        <v>219</v>
      </c>
      <c r="AE179" s="116" t="s">
        <v>218</v>
      </c>
      <c r="AF179" s="145">
        <v>12</v>
      </c>
      <c r="AG179" s="116">
        <v>4</v>
      </c>
      <c r="AH179" s="132">
        <v>4</v>
      </c>
      <c r="AI179" s="116">
        <v>5</v>
      </c>
      <c r="AJ179" s="116">
        <f>'[1]ТЭ (прил. 2.1)'!AY182</f>
        <v>0</v>
      </c>
      <c r="AK179" s="116">
        <v>0</v>
      </c>
      <c r="AL179" s="81"/>
    </row>
    <row r="180" spans="1:38" s="83" customFormat="1" ht="32.25" customHeight="1" x14ac:dyDescent="0.3">
      <c r="A180" s="5">
        <v>173</v>
      </c>
      <c r="B180" s="87" t="s">
        <v>196</v>
      </c>
      <c r="C180" s="87" t="s">
        <v>388</v>
      </c>
      <c r="D180" s="138" t="s">
        <v>424</v>
      </c>
      <c r="E180" s="116">
        <v>10</v>
      </c>
      <c r="F180" s="116">
        <v>1</v>
      </c>
      <c r="G180" s="116"/>
      <c r="H180" s="84" t="s">
        <v>751</v>
      </c>
      <c r="I180" s="166" t="s">
        <v>376</v>
      </c>
      <c r="J180" s="23"/>
      <c r="K180" s="146" t="s">
        <v>199</v>
      </c>
      <c r="L180" s="166" t="s">
        <v>389</v>
      </c>
      <c r="M180" s="116">
        <v>1970</v>
      </c>
      <c r="N180" s="141" t="s">
        <v>303</v>
      </c>
      <c r="O180" s="116">
        <v>9</v>
      </c>
      <c r="P180" s="116">
        <v>0</v>
      </c>
      <c r="Q180" s="116">
        <v>7</v>
      </c>
      <c r="R180" s="116">
        <v>256</v>
      </c>
      <c r="S180" s="142">
        <v>12863.5</v>
      </c>
      <c r="T180" s="143">
        <f t="shared" si="6"/>
        <v>12863.5</v>
      </c>
      <c r="U180" s="142">
        <v>8732.7000000000007</v>
      </c>
      <c r="V180" s="142">
        <f t="shared" si="7"/>
        <v>4130.7999999999993</v>
      </c>
      <c r="W180" s="144" t="s">
        <v>218</v>
      </c>
      <c r="X180" s="145" t="s">
        <v>218</v>
      </c>
      <c r="Y180" s="116" t="s">
        <v>218</v>
      </c>
      <c r="Z180" s="145" t="s">
        <v>218</v>
      </c>
      <c r="AA180" s="116" t="s">
        <v>218</v>
      </c>
      <c r="AB180" s="145" t="str">
        <f t="shared" si="8"/>
        <v>да</v>
      </c>
      <c r="AC180" s="116" t="s">
        <v>219</v>
      </c>
      <c r="AD180" s="116" t="s">
        <v>218</v>
      </c>
      <c r="AE180" s="116" t="s">
        <v>219</v>
      </c>
      <c r="AF180" s="145">
        <v>7</v>
      </c>
      <c r="AG180" s="116">
        <v>2</v>
      </c>
      <c r="AH180" s="132">
        <v>1</v>
      </c>
      <c r="AI180" s="116">
        <v>1</v>
      </c>
      <c r="AJ180" s="116">
        <f>'[1]ТЭ (прил. 2.1)'!AY183</f>
        <v>0</v>
      </c>
      <c r="AK180" s="116">
        <v>0</v>
      </c>
      <c r="AL180" s="81"/>
    </row>
    <row r="181" spans="1:38" s="83" customFormat="1" ht="32.25" customHeight="1" x14ac:dyDescent="0.3">
      <c r="A181" s="80">
        <v>174</v>
      </c>
      <c r="B181" s="87" t="s">
        <v>196</v>
      </c>
      <c r="C181" s="87" t="s">
        <v>388</v>
      </c>
      <c r="D181" s="138" t="s">
        <v>424</v>
      </c>
      <c r="E181" s="116">
        <v>10</v>
      </c>
      <c r="F181" s="116">
        <v>2</v>
      </c>
      <c r="G181" s="116"/>
      <c r="H181" s="84" t="s">
        <v>752</v>
      </c>
      <c r="I181" s="166" t="s">
        <v>376</v>
      </c>
      <c r="J181" s="23"/>
      <c r="K181" s="140" t="s">
        <v>372</v>
      </c>
      <c r="L181" s="166" t="s">
        <v>417</v>
      </c>
      <c r="M181" s="116">
        <v>1966</v>
      </c>
      <c r="N181" s="141" t="s">
        <v>303</v>
      </c>
      <c r="O181" s="116">
        <v>5</v>
      </c>
      <c r="P181" s="116">
        <v>0</v>
      </c>
      <c r="Q181" s="116">
        <v>7</v>
      </c>
      <c r="R181" s="116">
        <v>70</v>
      </c>
      <c r="S181" s="142">
        <v>3246.8</v>
      </c>
      <c r="T181" s="143">
        <f t="shared" si="6"/>
        <v>3246.8</v>
      </c>
      <c r="U181" s="142">
        <v>2340.4</v>
      </c>
      <c r="V181" s="142">
        <f t="shared" si="7"/>
        <v>906.40000000000009</v>
      </c>
      <c r="W181" s="144" t="s">
        <v>218</v>
      </c>
      <c r="X181" s="145" t="s">
        <v>218</v>
      </c>
      <c r="Y181" s="116" t="s">
        <v>218</v>
      </c>
      <c r="Z181" s="145" t="s">
        <v>218</v>
      </c>
      <c r="AA181" s="116" t="s">
        <v>218</v>
      </c>
      <c r="AB181" s="145" t="str">
        <f t="shared" si="8"/>
        <v>да</v>
      </c>
      <c r="AC181" s="116" t="s">
        <v>219</v>
      </c>
      <c r="AD181" s="116" t="s">
        <v>218</v>
      </c>
      <c r="AE181" s="116" t="s">
        <v>219</v>
      </c>
      <c r="AF181" s="145">
        <v>0</v>
      </c>
      <c r="AG181" s="116">
        <v>1</v>
      </c>
      <c r="AH181" s="132">
        <v>1</v>
      </c>
      <c r="AI181" s="116">
        <v>1</v>
      </c>
      <c r="AJ181" s="116">
        <f>'[1]ТЭ (прил. 2.1)'!AY184</f>
        <v>0</v>
      </c>
      <c r="AK181" s="116">
        <v>0</v>
      </c>
      <c r="AL181" s="81"/>
    </row>
    <row r="182" spans="1:38" s="83" customFormat="1" ht="32.25" customHeight="1" x14ac:dyDescent="0.3">
      <c r="A182" s="114">
        <v>175</v>
      </c>
      <c r="B182" s="87" t="s">
        <v>196</v>
      </c>
      <c r="C182" s="87" t="s">
        <v>388</v>
      </c>
      <c r="D182" s="138" t="s">
        <v>424</v>
      </c>
      <c r="E182" s="116">
        <v>12</v>
      </c>
      <c r="F182" s="116">
        <v>2</v>
      </c>
      <c r="G182" s="116"/>
      <c r="H182" s="84" t="s">
        <v>753</v>
      </c>
      <c r="I182" s="166" t="s">
        <v>376</v>
      </c>
      <c r="J182" s="23"/>
      <c r="K182" s="146" t="s">
        <v>199</v>
      </c>
      <c r="L182" s="166" t="s">
        <v>389</v>
      </c>
      <c r="M182" s="116">
        <v>1969</v>
      </c>
      <c r="N182" s="141" t="s">
        <v>303</v>
      </c>
      <c r="O182" s="116">
        <v>9</v>
      </c>
      <c r="P182" s="116">
        <v>0</v>
      </c>
      <c r="Q182" s="116">
        <v>7</v>
      </c>
      <c r="R182" s="116">
        <v>258</v>
      </c>
      <c r="S182" s="142">
        <v>12908.14</v>
      </c>
      <c r="T182" s="143">
        <f t="shared" si="6"/>
        <v>12908.14</v>
      </c>
      <c r="U182" s="142">
        <v>8775.68</v>
      </c>
      <c r="V182" s="142">
        <f t="shared" si="7"/>
        <v>4132.4599999999991</v>
      </c>
      <c r="W182" s="144" t="s">
        <v>218</v>
      </c>
      <c r="X182" s="145" t="s">
        <v>218</v>
      </c>
      <c r="Y182" s="116" t="s">
        <v>218</v>
      </c>
      <c r="Z182" s="145" t="s">
        <v>218</v>
      </c>
      <c r="AA182" s="116" t="s">
        <v>218</v>
      </c>
      <c r="AB182" s="145" t="str">
        <f t="shared" si="8"/>
        <v>да</v>
      </c>
      <c r="AC182" s="116" t="s">
        <v>219</v>
      </c>
      <c r="AD182" s="116" t="s">
        <v>218</v>
      </c>
      <c r="AE182" s="116" t="s">
        <v>219</v>
      </c>
      <c r="AF182" s="145">
        <v>7</v>
      </c>
      <c r="AG182" s="116">
        <v>2</v>
      </c>
      <c r="AH182" s="132">
        <v>1</v>
      </c>
      <c r="AI182" s="116">
        <v>1</v>
      </c>
      <c r="AJ182" s="116">
        <f>'[1]ТЭ (прил. 2.1)'!AY185</f>
        <v>0</v>
      </c>
      <c r="AK182" s="116">
        <v>0</v>
      </c>
      <c r="AL182" s="81"/>
    </row>
    <row r="183" spans="1:38" s="83" customFormat="1" ht="32.25" customHeight="1" x14ac:dyDescent="0.3">
      <c r="A183" s="5">
        <v>176</v>
      </c>
      <c r="B183" s="87" t="s">
        <v>196</v>
      </c>
      <c r="C183" s="87" t="s">
        <v>388</v>
      </c>
      <c r="D183" s="138" t="s">
        <v>424</v>
      </c>
      <c r="E183" s="116">
        <v>12</v>
      </c>
      <c r="F183" s="116">
        <v>4</v>
      </c>
      <c r="G183" s="116"/>
      <c r="H183" s="84" t="s">
        <v>754</v>
      </c>
      <c r="I183" s="166" t="s">
        <v>376</v>
      </c>
      <c r="J183" s="23"/>
      <c r="K183" s="146" t="s">
        <v>303</v>
      </c>
      <c r="L183" s="166" t="s">
        <v>368</v>
      </c>
      <c r="M183" s="116">
        <v>1970</v>
      </c>
      <c r="N183" s="141" t="s">
        <v>377</v>
      </c>
      <c r="O183" s="116">
        <v>9</v>
      </c>
      <c r="P183" s="116">
        <v>0</v>
      </c>
      <c r="Q183" s="116">
        <v>1</v>
      </c>
      <c r="R183" s="116">
        <v>45</v>
      </c>
      <c r="S183" s="142">
        <v>2091.6999999999998</v>
      </c>
      <c r="T183" s="143">
        <f t="shared" si="6"/>
        <v>2091.6999999999998</v>
      </c>
      <c r="U183" s="142">
        <v>1257.2</v>
      </c>
      <c r="V183" s="142">
        <f t="shared" si="7"/>
        <v>834.49999999999977</v>
      </c>
      <c r="W183" s="144" t="s">
        <v>218</v>
      </c>
      <c r="X183" s="145" t="s">
        <v>218</v>
      </c>
      <c r="Y183" s="116" t="s">
        <v>218</v>
      </c>
      <c r="Z183" s="145" t="s">
        <v>218</v>
      </c>
      <c r="AA183" s="116" t="s">
        <v>218</v>
      </c>
      <c r="AB183" s="145" t="str">
        <f t="shared" si="8"/>
        <v>да</v>
      </c>
      <c r="AC183" s="116" t="s">
        <v>219</v>
      </c>
      <c r="AD183" s="116" t="s">
        <v>218</v>
      </c>
      <c r="AE183" s="116" t="s">
        <v>219</v>
      </c>
      <c r="AF183" s="145">
        <v>1</v>
      </c>
      <c r="AG183" s="116">
        <v>2</v>
      </c>
      <c r="AH183" s="132">
        <v>1</v>
      </c>
      <c r="AI183" s="116">
        <v>1</v>
      </c>
      <c r="AJ183" s="116">
        <f>'[1]ТЭ (прил. 2.1)'!AY186</f>
        <v>0</v>
      </c>
      <c r="AK183" s="116">
        <v>0</v>
      </c>
      <c r="AL183" s="81"/>
    </row>
    <row r="184" spans="1:38" s="83" customFormat="1" ht="32.25" customHeight="1" x14ac:dyDescent="0.3">
      <c r="A184" s="80">
        <v>177</v>
      </c>
      <c r="B184" s="87" t="s">
        <v>196</v>
      </c>
      <c r="C184" s="87" t="s">
        <v>388</v>
      </c>
      <c r="D184" s="138" t="s">
        <v>424</v>
      </c>
      <c r="E184" s="116">
        <v>12</v>
      </c>
      <c r="F184" s="116">
        <v>5</v>
      </c>
      <c r="G184" s="116"/>
      <c r="H184" s="84" t="s">
        <v>755</v>
      </c>
      <c r="I184" s="166" t="s">
        <v>376</v>
      </c>
      <c r="J184" s="23"/>
      <c r="K184" s="146" t="s">
        <v>303</v>
      </c>
      <c r="L184" s="166" t="s">
        <v>368</v>
      </c>
      <c r="M184" s="116">
        <v>1971</v>
      </c>
      <c r="N184" s="141" t="s">
        <v>377</v>
      </c>
      <c r="O184" s="116">
        <v>9</v>
      </c>
      <c r="P184" s="116">
        <v>0</v>
      </c>
      <c r="Q184" s="116">
        <v>1</v>
      </c>
      <c r="R184" s="116">
        <v>46</v>
      </c>
      <c r="S184" s="142">
        <v>2103.6</v>
      </c>
      <c r="T184" s="143">
        <f t="shared" si="6"/>
        <v>2103.6</v>
      </c>
      <c r="U184" s="142">
        <v>1262.9000000000001</v>
      </c>
      <c r="V184" s="142">
        <f t="shared" si="7"/>
        <v>840.69999999999982</v>
      </c>
      <c r="W184" s="144" t="s">
        <v>218</v>
      </c>
      <c r="X184" s="145" t="s">
        <v>218</v>
      </c>
      <c r="Y184" s="116" t="s">
        <v>218</v>
      </c>
      <c r="Z184" s="145" t="s">
        <v>218</v>
      </c>
      <c r="AA184" s="116" t="s">
        <v>218</v>
      </c>
      <c r="AB184" s="145" t="str">
        <f t="shared" si="8"/>
        <v>да</v>
      </c>
      <c r="AC184" s="116" t="s">
        <v>219</v>
      </c>
      <c r="AD184" s="116" t="s">
        <v>218</v>
      </c>
      <c r="AE184" s="116" t="s">
        <v>219</v>
      </c>
      <c r="AF184" s="145">
        <v>1</v>
      </c>
      <c r="AG184" s="116">
        <v>2</v>
      </c>
      <c r="AH184" s="132">
        <v>1</v>
      </c>
      <c r="AI184" s="116">
        <v>1</v>
      </c>
      <c r="AJ184" s="116">
        <f>'[1]ТЭ (прил. 2.1)'!AY187</f>
        <v>0</v>
      </c>
      <c r="AK184" s="116">
        <v>0</v>
      </c>
      <c r="AL184" s="81"/>
    </row>
    <row r="185" spans="1:38" s="83" customFormat="1" ht="32.25" customHeight="1" x14ac:dyDescent="0.3">
      <c r="A185" s="114">
        <v>178</v>
      </c>
      <c r="B185" s="87" t="s">
        <v>196</v>
      </c>
      <c r="C185" s="87" t="s">
        <v>388</v>
      </c>
      <c r="D185" s="138" t="s">
        <v>424</v>
      </c>
      <c r="E185" s="116">
        <v>12</v>
      </c>
      <c r="F185" s="116">
        <v>6</v>
      </c>
      <c r="G185" s="116"/>
      <c r="H185" s="84" t="s">
        <v>756</v>
      </c>
      <c r="I185" s="166" t="s">
        <v>376</v>
      </c>
      <c r="J185" s="23"/>
      <c r="K185" s="140" t="s">
        <v>372</v>
      </c>
      <c r="L185" s="166" t="s">
        <v>417</v>
      </c>
      <c r="M185" s="116">
        <v>1966</v>
      </c>
      <c r="N185" s="141" t="s">
        <v>303</v>
      </c>
      <c r="O185" s="116">
        <v>5</v>
      </c>
      <c r="P185" s="116">
        <v>0</v>
      </c>
      <c r="Q185" s="116">
        <v>7</v>
      </c>
      <c r="R185" s="116">
        <v>70</v>
      </c>
      <c r="S185" s="142">
        <v>3238</v>
      </c>
      <c r="T185" s="143">
        <f t="shared" si="6"/>
        <v>3238</v>
      </c>
      <c r="U185" s="142">
        <v>2331.8000000000002</v>
      </c>
      <c r="V185" s="142">
        <f t="shared" si="7"/>
        <v>906.19999999999982</v>
      </c>
      <c r="W185" s="144" t="s">
        <v>218</v>
      </c>
      <c r="X185" s="145" t="s">
        <v>218</v>
      </c>
      <c r="Y185" s="116" t="s">
        <v>218</v>
      </c>
      <c r="Z185" s="145" t="s">
        <v>218</v>
      </c>
      <c r="AA185" s="116" t="s">
        <v>218</v>
      </c>
      <c r="AB185" s="145" t="str">
        <f t="shared" si="8"/>
        <v>да</v>
      </c>
      <c r="AC185" s="116" t="s">
        <v>219</v>
      </c>
      <c r="AD185" s="116" t="s">
        <v>218</v>
      </c>
      <c r="AE185" s="116" t="s">
        <v>219</v>
      </c>
      <c r="AF185" s="145">
        <v>0</v>
      </c>
      <c r="AG185" s="116">
        <v>1</v>
      </c>
      <c r="AH185" s="132">
        <v>1</v>
      </c>
      <c r="AI185" s="116">
        <v>1</v>
      </c>
      <c r="AJ185" s="116">
        <f>'[1]ТЭ (прил. 2.1)'!AY188</f>
        <v>0</v>
      </c>
      <c r="AK185" s="116">
        <v>0</v>
      </c>
      <c r="AL185" s="81"/>
    </row>
    <row r="186" spans="1:38" s="83" customFormat="1" ht="32.25" customHeight="1" x14ac:dyDescent="0.3">
      <c r="A186" s="5">
        <v>179</v>
      </c>
      <c r="B186" s="87" t="s">
        <v>196</v>
      </c>
      <c r="C186" s="87" t="s">
        <v>388</v>
      </c>
      <c r="D186" s="138" t="s">
        <v>424</v>
      </c>
      <c r="E186" s="116">
        <v>15</v>
      </c>
      <c r="F186" s="116">
        <v>2</v>
      </c>
      <c r="G186" s="116"/>
      <c r="H186" s="84" t="s">
        <v>757</v>
      </c>
      <c r="I186" s="166" t="s">
        <v>247</v>
      </c>
      <c r="J186" s="23"/>
      <c r="K186" s="146" t="s">
        <v>199</v>
      </c>
      <c r="L186" s="166" t="s">
        <v>411</v>
      </c>
      <c r="M186" s="116">
        <v>1991</v>
      </c>
      <c r="N186" s="141" t="s">
        <v>200</v>
      </c>
      <c r="O186" s="116">
        <v>10</v>
      </c>
      <c r="P186" s="116">
        <v>0</v>
      </c>
      <c r="Q186" s="116">
        <v>2</v>
      </c>
      <c r="R186" s="116">
        <v>79</v>
      </c>
      <c r="S186" s="142">
        <v>4773.1000000000004</v>
      </c>
      <c r="T186" s="143">
        <f t="shared" si="6"/>
        <v>4773.1000000000004</v>
      </c>
      <c r="U186" s="142">
        <v>2330.3000000000002</v>
      </c>
      <c r="V186" s="142">
        <f t="shared" si="7"/>
        <v>2442.8000000000002</v>
      </c>
      <c r="W186" s="144" t="s">
        <v>218</v>
      </c>
      <c r="X186" s="145" t="s">
        <v>218</v>
      </c>
      <c r="Y186" s="116" t="s">
        <v>218</v>
      </c>
      <c r="Z186" s="145" t="s">
        <v>218</v>
      </c>
      <c r="AA186" s="116" t="s">
        <v>218</v>
      </c>
      <c r="AB186" s="145" t="str">
        <f t="shared" si="8"/>
        <v>да</v>
      </c>
      <c r="AC186" s="116" t="s">
        <v>219</v>
      </c>
      <c r="AD186" s="116" t="s">
        <v>218</v>
      </c>
      <c r="AE186" s="116" t="s">
        <v>219</v>
      </c>
      <c r="AF186" s="145">
        <v>2</v>
      </c>
      <c r="AG186" s="116">
        <v>2</v>
      </c>
      <c r="AH186" s="132">
        <v>1</v>
      </c>
      <c r="AI186" s="116">
        <v>1</v>
      </c>
      <c r="AJ186" s="116">
        <f>'[1]ТЭ (прил. 2.1)'!AY189</f>
        <v>1</v>
      </c>
      <c r="AK186" s="116">
        <v>0</v>
      </c>
      <c r="AL186" s="81"/>
    </row>
    <row r="187" spans="1:38" s="83" customFormat="1" ht="32.25" customHeight="1" x14ac:dyDescent="0.3">
      <c r="A187" s="80">
        <v>180</v>
      </c>
      <c r="B187" s="87" t="s">
        <v>196</v>
      </c>
      <c r="C187" s="87" t="s">
        <v>388</v>
      </c>
      <c r="D187" s="138" t="s">
        <v>424</v>
      </c>
      <c r="E187" s="116">
        <v>15</v>
      </c>
      <c r="F187" s="116" t="s">
        <v>245</v>
      </c>
      <c r="G187" s="116"/>
      <c r="H187" s="84" t="s">
        <v>758</v>
      </c>
      <c r="I187" s="166" t="s">
        <v>425</v>
      </c>
      <c r="J187" s="23"/>
      <c r="K187" s="146" t="s">
        <v>303</v>
      </c>
      <c r="L187" s="166" t="s">
        <v>426</v>
      </c>
      <c r="M187" s="116">
        <v>1970</v>
      </c>
      <c r="N187" s="141" t="s">
        <v>377</v>
      </c>
      <c r="O187" s="116">
        <v>12</v>
      </c>
      <c r="P187" s="116">
        <v>0</v>
      </c>
      <c r="Q187" s="116">
        <v>1</v>
      </c>
      <c r="R187" s="116">
        <v>84</v>
      </c>
      <c r="S187" s="142">
        <v>4353.5</v>
      </c>
      <c r="T187" s="143">
        <f t="shared" si="6"/>
        <v>4353.5</v>
      </c>
      <c r="U187" s="142">
        <v>2617.8000000000002</v>
      </c>
      <c r="V187" s="142">
        <f t="shared" si="7"/>
        <v>1735.6999999999998</v>
      </c>
      <c r="W187" s="144" t="s">
        <v>218</v>
      </c>
      <c r="X187" s="145" t="s">
        <v>218</v>
      </c>
      <c r="Y187" s="116" t="s">
        <v>218</v>
      </c>
      <c r="Z187" s="145" t="s">
        <v>218</v>
      </c>
      <c r="AA187" s="116" t="s">
        <v>218</v>
      </c>
      <c r="AB187" s="145" t="str">
        <f t="shared" si="8"/>
        <v>да</v>
      </c>
      <c r="AC187" s="116" t="s">
        <v>219</v>
      </c>
      <c r="AD187" s="116" t="s">
        <v>218</v>
      </c>
      <c r="AE187" s="116" t="s">
        <v>219</v>
      </c>
      <c r="AF187" s="145">
        <v>0</v>
      </c>
      <c r="AG187" s="116">
        <v>2</v>
      </c>
      <c r="AH187" s="132">
        <v>3</v>
      </c>
      <c r="AI187" s="116">
        <v>1</v>
      </c>
      <c r="AJ187" s="116">
        <f>'[1]ТЭ (прил. 2.1)'!AY190</f>
        <v>1</v>
      </c>
      <c r="AK187" s="116">
        <v>0</v>
      </c>
      <c r="AL187" s="81"/>
    </row>
    <row r="188" spans="1:38" s="83" customFormat="1" ht="32.25" customHeight="1" x14ac:dyDescent="0.3">
      <c r="A188" s="114">
        <v>181</v>
      </c>
      <c r="B188" s="87" t="s">
        <v>196</v>
      </c>
      <c r="C188" s="87" t="s">
        <v>388</v>
      </c>
      <c r="D188" s="138" t="s">
        <v>424</v>
      </c>
      <c r="E188" s="116">
        <v>19</v>
      </c>
      <c r="F188" s="116">
        <v>1</v>
      </c>
      <c r="G188" s="116"/>
      <c r="H188" s="84" t="s">
        <v>759</v>
      </c>
      <c r="I188" s="166" t="s">
        <v>376</v>
      </c>
      <c r="J188" s="23"/>
      <c r="K188" s="146" t="s">
        <v>199</v>
      </c>
      <c r="L188" s="166" t="s">
        <v>378</v>
      </c>
      <c r="M188" s="116">
        <v>1969</v>
      </c>
      <c r="N188" s="141" t="s">
        <v>380</v>
      </c>
      <c r="O188" s="116">
        <v>9</v>
      </c>
      <c r="P188" s="116">
        <v>0</v>
      </c>
      <c r="Q188" s="116">
        <v>7</v>
      </c>
      <c r="R188" s="116">
        <v>256</v>
      </c>
      <c r="S188" s="142">
        <v>13139.4</v>
      </c>
      <c r="T188" s="143">
        <f t="shared" si="6"/>
        <v>13139.4</v>
      </c>
      <c r="U188" s="142">
        <v>8646.9</v>
      </c>
      <c r="V188" s="142">
        <f t="shared" si="7"/>
        <v>4492.5</v>
      </c>
      <c r="W188" s="144" t="s">
        <v>218</v>
      </c>
      <c r="X188" s="145" t="s">
        <v>218</v>
      </c>
      <c r="Y188" s="116" t="s">
        <v>218</v>
      </c>
      <c r="Z188" s="145" t="s">
        <v>218</v>
      </c>
      <c r="AA188" s="116" t="s">
        <v>218</v>
      </c>
      <c r="AB188" s="145" t="str">
        <f t="shared" si="8"/>
        <v>да</v>
      </c>
      <c r="AC188" s="116" t="s">
        <v>219</v>
      </c>
      <c r="AD188" s="116" t="s">
        <v>218</v>
      </c>
      <c r="AE188" s="116" t="s">
        <v>219</v>
      </c>
      <c r="AF188" s="145">
        <v>7</v>
      </c>
      <c r="AG188" s="116">
        <v>2</v>
      </c>
      <c r="AH188" s="132">
        <v>2</v>
      </c>
      <c r="AI188" s="116">
        <v>2</v>
      </c>
      <c r="AJ188" s="116">
        <f>'[1]ТЭ (прил. 2.1)'!AY191</f>
        <v>1</v>
      </c>
      <c r="AK188" s="116">
        <v>0</v>
      </c>
      <c r="AL188" s="81"/>
    </row>
    <row r="189" spans="1:38" s="83" customFormat="1" ht="32.25" customHeight="1" x14ac:dyDescent="0.3">
      <c r="A189" s="5">
        <v>182</v>
      </c>
      <c r="B189" s="87" t="s">
        <v>196</v>
      </c>
      <c r="C189" s="87" t="s">
        <v>388</v>
      </c>
      <c r="D189" s="138" t="s">
        <v>424</v>
      </c>
      <c r="E189" s="116">
        <v>20</v>
      </c>
      <c r="F189" s="116">
        <v>1</v>
      </c>
      <c r="G189" s="116"/>
      <c r="H189" s="84" t="s">
        <v>760</v>
      </c>
      <c r="I189" s="166" t="s">
        <v>376</v>
      </c>
      <c r="J189" s="23"/>
      <c r="K189" s="146" t="s">
        <v>303</v>
      </c>
      <c r="L189" s="166" t="s">
        <v>319</v>
      </c>
      <c r="M189" s="116">
        <v>1972</v>
      </c>
      <c r="N189" s="141" t="s">
        <v>377</v>
      </c>
      <c r="O189" s="116">
        <v>9</v>
      </c>
      <c r="P189" s="116">
        <v>0</v>
      </c>
      <c r="Q189" s="116">
        <v>9</v>
      </c>
      <c r="R189" s="116">
        <v>519</v>
      </c>
      <c r="S189" s="142">
        <v>26008.51</v>
      </c>
      <c r="T189" s="143">
        <f t="shared" si="6"/>
        <v>26008.51</v>
      </c>
      <c r="U189" s="142">
        <v>16243</v>
      </c>
      <c r="V189" s="142">
        <f t="shared" si="7"/>
        <v>9765.5099999999984</v>
      </c>
      <c r="W189" s="144" t="s">
        <v>218</v>
      </c>
      <c r="X189" s="145" t="s">
        <v>218</v>
      </c>
      <c r="Y189" s="116" t="s">
        <v>218</v>
      </c>
      <c r="Z189" s="145" t="s">
        <v>218</v>
      </c>
      <c r="AA189" s="116" t="s">
        <v>218</v>
      </c>
      <c r="AB189" s="145" t="str">
        <f t="shared" si="8"/>
        <v>да</v>
      </c>
      <c r="AC189" s="116" t="s">
        <v>219</v>
      </c>
      <c r="AD189" s="116" t="s">
        <v>218</v>
      </c>
      <c r="AE189" s="116" t="s">
        <v>219</v>
      </c>
      <c r="AF189" s="145">
        <v>9</v>
      </c>
      <c r="AG189" s="116">
        <v>4</v>
      </c>
      <c r="AH189" s="132">
        <v>3</v>
      </c>
      <c r="AI189" s="116">
        <v>4</v>
      </c>
      <c r="AJ189" s="116">
        <f>'[1]ТЭ (прил. 2.1)'!AY192</f>
        <v>0</v>
      </c>
      <c r="AK189" s="116">
        <v>0</v>
      </c>
      <c r="AL189" s="81"/>
    </row>
    <row r="190" spans="1:38" s="83" customFormat="1" ht="32.25" customHeight="1" x14ac:dyDescent="0.3">
      <c r="A190" s="80">
        <v>183</v>
      </c>
      <c r="B190" s="87" t="s">
        <v>196</v>
      </c>
      <c r="C190" s="87" t="s">
        <v>388</v>
      </c>
      <c r="D190" s="138" t="s">
        <v>424</v>
      </c>
      <c r="E190" s="116">
        <v>22</v>
      </c>
      <c r="F190" s="116">
        <v>1</v>
      </c>
      <c r="G190" s="116"/>
      <c r="H190" s="84" t="s">
        <v>761</v>
      </c>
      <c r="I190" s="166" t="s">
        <v>376</v>
      </c>
      <c r="J190" s="23"/>
      <c r="K190" s="146" t="s">
        <v>199</v>
      </c>
      <c r="L190" s="166" t="s">
        <v>378</v>
      </c>
      <c r="M190" s="116">
        <v>1967</v>
      </c>
      <c r="N190" s="141" t="s">
        <v>380</v>
      </c>
      <c r="O190" s="116">
        <v>9</v>
      </c>
      <c r="P190" s="116">
        <v>0</v>
      </c>
      <c r="Q190" s="116">
        <v>6</v>
      </c>
      <c r="R190" s="116">
        <v>220</v>
      </c>
      <c r="S190" s="142">
        <v>11333.98</v>
      </c>
      <c r="T190" s="143">
        <f t="shared" si="6"/>
        <v>11333.98</v>
      </c>
      <c r="U190" s="142">
        <v>7433.12</v>
      </c>
      <c r="V190" s="142">
        <f t="shared" si="7"/>
        <v>3900.8599999999997</v>
      </c>
      <c r="W190" s="144" t="s">
        <v>218</v>
      </c>
      <c r="X190" s="145" t="s">
        <v>218</v>
      </c>
      <c r="Y190" s="116" t="s">
        <v>218</v>
      </c>
      <c r="Z190" s="145" t="s">
        <v>218</v>
      </c>
      <c r="AA190" s="116" t="s">
        <v>218</v>
      </c>
      <c r="AB190" s="145" t="str">
        <f t="shared" si="8"/>
        <v>да</v>
      </c>
      <c r="AC190" s="116" t="s">
        <v>219</v>
      </c>
      <c r="AD190" s="116" t="s">
        <v>218</v>
      </c>
      <c r="AE190" s="116" t="s">
        <v>219</v>
      </c>
      <c r="AF190" s="145">
        <v>6</v>
      </c>
      <c r="AG190" s="116">
        <v>2</v>
      </c>
      <c r="AH190" s="132">
        <v>1</v>
      </c>
      <c r="AI190" s="116">
        <v>1</v>
      </c>
      <c r="AJ190" s="116">
        <f>'[1]ТЭ (прил. 2.1)'!AY193</f>
        <v>0</v>
      </c>
      <c r="AK190" s="116">
        <v>0</v>
      </c>
      <c r="AL190" s="81"/>
    </row>
    <row r="191" spans="1:38" s="83" customFormat="1" ht="32.25" customHeight="1" x14ac:dyDescent="0.3">
      <c r="A191" s="114">
        <v>184</v>
      </c>
      <c r="B191" s="87" t="s">
        <v>196</v>
      </c>
      <c r="C191" s="87" t="s">
        <v>388</v>
      </c>
      <c r="D191" s="138" t="s">
        <v>424</v>
      </c>
      <c r="E191" s="116">
        <v>22</v>
      </c>
      <c r="F191" s="116">
        <v>2</v>
      </c>
      <c r="G191" s="116"/>
      <c r="H191" s="84" t="s">
        <v>762</v>
      </c>
      <c r="I191" s="166" t="s">
        <v>376</v>
      </c>
      <c r="J191" s="23"/>
      <c r="K191" s="146" t="s">
        <v>199</v>
      </c>
      <c r="L191" s="166" t="s">
        <v>378</v>
      </c>
      <c r="M191" s="116">
        <v>1967</v>
      </c>
      <c r="N191" s="141" t="s">
        <v>380</v>
      </c>
      <c r="O191" s="116">
        <v>9</v>
      </c>
      <c r="P191" s="116">
        <v>0</v>
      </c>
      <c r="Q191" s="116">
        <v>6</v>
      </c>
      <c r="R191" s="116">
        <v>223</v>
      </c>
      <c r="S191" s="142">
        <v>11306.79</v>
      </c>
      <c r="T191" s="143">
        <f t="shared" si="6"/>
        <v>11306.79</v>
      </c>
      <c r="U191" s="142">
        <v>7437.28</v>
      </c>
      <c r="V191" s="142">
        <f t="shared" si="7"/>
        <v>3869.5100000000011</v>
      </c>
      <c r="W191" s="144" t="s">
        <v>218</v>
      </c>
      <c r="X191" s="145" t="s">
        <v>218</v>
      </c>
      <c r="Y191" s="116" t="s">
        <v>218</v>
      </c>
      <c r="Z191" s="145" t="s">
        <v>218</v>
      </c>
      <c r="AA191" s="116" t="s">
        <v>218</v>
      </c>
      <c r="AB191" s="145" t="str">
        <f t="shared" si="8"/>
        <v>да</v>
      </c>
      <c r="AC191" s="116" t="s">
        <v>219</v>
      </c>
      <c r="AD191" s="116" t="s">
        <v>218</v>
      </c>
      <c r="AE191" s="116" t="s">
        <v>219</v>
      </c>
      <c r="AF191" s="145">
        <v>6</v>
      </c>
      <c r="AG191" s="116">
        <v>2</v>
      </c>
      <c r="AH191" s="132">
        <v>1</v>
      </c>
      <c r="AI191" s="116">
        <v>1</v>
      </c>
      <c r="AJ191" s="116">
        <f>'[1]ТЭ (прил. 2.1)'!AY194</f>
        <v>0</v>
      </c>
      <c r="AK191" s="116">
        <v>0</v>
      </c>
      <c r="AL191" s="81"/>
    </row>
    <row r="192" spans="1:38" s="83" customFormat="1" ht="32.25" customHeight="1" x14ac:dyDescent="0.3">
      <c r="A192" s="5">
        <v>185</v>
      </c>
      <c r="B192" s="87" t="s">
        <v>196</v>
      </c>
      <c r="C192" s="87" t="s">
        <v>388</v>
      </c>
      <c r="D192" s="138" t="s">
        <v>424</v>
      </c>
      <c r="E192" s="116">
        <v>23</v>
      </c>
      <c r="F192" s="116">
        <v>1</v>
      </c>
      <c r="G192" s="116"/>
      <c r="H192" s="84" t="s">
        <v>763</v>
      </c>
      <c r="I192" s="166" t="s">
        <v>376</v>
      </c>
      <c r="J192" s="23"/>
      <c r="K192" s="146" t="s">
        <v>199</v>
      </c>
      <c r="L192" s="166" t="s">
        <v>378</v>
      </c>
      <c r="M192" s="116">
        <v>1971</v>
      </c>
      <c r="N192" s="141" t="s">
        <v>380</v>
      </c>
      <c r="O192" s="116">
        <v>9</v>
      </c>
      <c r="P192" s="116">
        <v>0</v>
      </c>
      <c r="Q192" s="116">
        <v>7</v>
      </c>
      <c r="R192" s="116">
        <v>254</v>
      </c>
      <c r="S192" s="142">
        <v>14915</v>
      </c>
      <c r="T192" s="143">
        <f t="shared" si="6"/>
        <v>14915</v>
      </c>
      <c r="U192" s="142">
        <v>8608.2999999999993</v>
      </c>
      <c r="V192" s="142">
        <f t="shared" si="7"/>
        <v>6306.7000000000007</v>
      </c>
      <c r="W192" s="144" t="s">
        <v>218</v>
      </c>
      <c r="X192" s="145" t="s">
        <v>218</v>
      </c>
      <c r="Y192" s="116" t="s">
        <v>218</v>
      </c>
      <c r="Z192" s="145" t="s">
        <v>218</v>
      </c>
      <c r="AA192" s="116" t="s">
        <v>218</v>
      </c>
      <c r="AB192" s="145" t="str">
        <f t="shared" si="8"/>
        <v>да</v>
      </c>
      <c r="AC192" s="116" t="s">
        <v>219</v>
      </c>
      <c r="AD192" s="116" t="s">
        <v>218</v>
      </c>
      <c r="AE192" s="116" t="s">
        <v>219</v>
      </c>
      <c r="AF192" s="145">
        <v>7</v>
      </c>
      <c r="AG192" s="116">
        <v>2</v>
      </c>
      <c r="AH192" s="132">
        <v>2</v>
      </c>
      <c r="AI192" s="116">
        <v>2</v>
      </c>
      <c r="AJ192" s="116">
        <f>'[1]ТЭ (прил. 2.1)'!AY195</f>
        <v>0</v>
      </c>
      <c r="AK192" s="116">
        <v>0</v>
      </c>
      <c r="AL192" s="81"/>
    </row>
    <row r="193" spans="1:38" s="83" customFormat="1" ht="32.25" customHeight="1" x14ac:dyDescent="0.3">
      <c r="A193" s="80">
        <v>186</v>
      </c>
      <c r="B193" s="87" t="s">
        <v>196</v>
      </c>
      <c r="C193" s="87" t="s">
        <v>388</v>
      </c>
      <c r="D193" s="138" t="s">
        <v>424</v>
      </c>
      <c r="E193" s="116">
        <v>28</v>
      </c>
      <c r="F193" s="116">
        <v>2</v>
      </c>
      <c r="G193" s="116"/>
      <c r="H193" s="84" t="s">
        <v>764</v>
      </c>
      <c r="I193" s="166" t="s">
        <v>376</v>
      </c>
      <c r="J193" s="23"/>
      <c r="K193" s="140" t="s">
        <v>372</v>
      </c>
      <c r="L193" s="166" t="s">
        <v>367</v>
      </c>
      <c r="M193" s="116">
        <v>1966</v>
      </c>
      <c r="N193" s="141" t="s">
        <v>303</v>
      </c>
      <c r="O193" s="116">
        <v>5</v>
      </c>
      <c r="P193" s="116">
        <v>0</v>
      </c>
      <c r="Q193" s="116">
        <v>5</v>
      </c>
      <c r="R193" s="116">
        <v>100</v>
      </c>
      <c r="S193" s="142">
        <v>4462.83</v>
      </c>
      <c r="T193" s="143">
        <f t="shared" si="6"/>
        <v>4462.83</v>
      </c>
      <c r="U193" s="142">
        <v>3053.86</v>
      </c>
      <c r="V193" s="142">
        <f t="shared" si="7"/>
        <v>1408.9699999999998</v>
      </c>
      <c r="W193" s="144" t="s">
        <v>218</v>
      </c>
      <c r="X193" s="145" t="s">
        <v>218</v>
      </c>
      <c r="Y193" s="116" t="s">
        <v>218</v>
      </c>
      <c r="Z193" s="145" t="s">
        <v>218</v>
      </c>
      <c r="AA193" s="116" t="s">
        <v>218</v>
      </c>
      <c r="AB193" s="145" t="str">
        <f t="shared" si="8"/>
        <v>да</v>
      </c>
      <c r="AC193" s="116" t="s">
        <v>219</v>
      </c>
      <c r="AD193" s="116" t="s">
        <v>218</v>
      </c>
      <c r="AE193" s="116" t="s">
        <v>219</v>
      </c>
      <c r="AF193" s="145">
        <v>0</v>
      </c>
      <c r="AG193" s="116">
        <v>1</v>
      </c>
      <c r="AH193" s="132">
        <v>1</v>
      </c>
      <c r="AI193" s="116">
        <v>1</v>
      </c>
      <c r="AJ193" s="116">
        <f>'[1]ТЭ (прил. 2.1)'!AY196</f>
        <v>0</v>
      </c>
      <c r="AK193" s="116">
        <v>0</v>
      </c>
      <c r="AL193" s="81"/>
    </row>
    <row r="194" spans="1:38" s="83" customFormat="1" ht="32.25" customHeight="1" x14ac:dyDescent="0.3">
      <c r="A194" s="114">
        <v>187</v>
      </c>
      <c r="B194" s="87" t="s">
        <v>196</v>
      </c>
      <c r="C194" s="87" t="s">
        <v>388</v>
      </c>
      <c r="D194" s="138" t="s">
        <v>424</v>
      </c>
      <c r="E194" s="116">
        <v>28</v>
      </c>
      <c r="F194" s="116">
        <v>3</v>
      </c>
      <c r="G194" s="116"/>
      <c r="H194" s="84" t="s">
        <v>765</v>
      </c>
      <c r="I194" s="166" t="s">
        <v>376</v>
      </c>
      <c r="J194" s="23"/>
      <c r="K194" s="140" t="s">
        <v>372</v>
      </c>
      <c r="L194" s="166" t="s">
        <v>367</v>
      </c>
      <c r="M194" s="116">
        <v>1966</v>
      </c>
      <c r="N194" s="141" t="s">
        <v>303</v>
      </c>
      <c r="O194" s="116">
        <v>5</v>
      </c>
      <c r="P194" s="116">
        <v>0</v>
      </c>
      <c r="Q194" s="116">
        <v>5</v>
      </c>
      <c r="R194" s="116">
        <v>100</v>
      </c>
      <c r="S194" s="142">
        <v>4536.0600000000004</v>
      </c>
      <c r="T194" s="143">
        <f t="shared" si="6"/>
        <v>4536.0600000000004</v>
      </c>
      <c r="U194" s="142">
        <v>3098.81</v>
      </c>
      <c r="V194" s="142">
        <f t="shared" si="7"/>
        <v>1437.2500000000005</v>
      </c>
      <c r="W194" s="144" t="s">
        <v>218</v>
      </c>
      <c r="X194" s="145" t="s">
        <v>218</v>
      </c>
      <c r="Y194" s="116" t="s">
        <v>218</v>
      </c>
      <c r="Z194" s="145" t="s">
        <v>218</v>
      </c>
      <c r="AA194" s="116" t="s">
        <v>218</v>
      </c>
      <c r="AB194" s="145" t="str">
        <f t="shared" si="8"/>
        <v>да</v>
      </c>
      <c r="AC194" s="116" t="s">
        <v>219</v>
      </c>
      <c r="AD194" s="116" t="s">
        <v>218</v>
      </c>
      <c r="AE194" s="116" t="s">
        <v>219</v>
      </c>
      <c r="AF194" s="145">
        <v>0</v>
      </c>
      <c r="AG194" s="116">
        <v>0</v>
      </c>
      <c r="AH194" s="132">
        <v>2</v>
      </c>
      <c r="AI194" s="116">
        <v>1</v>
      </c>
      <c r="AJ194" s="116">
        <f>'[1]ТЭ (прил. 2.1)'!AY197</f>
        <v>0</v>
      </c>
      <c r="AK194" s="116">
        <v>0</v>
      </c>
      <c r="AL194" s="81"/>
    </row>
    <row r="195" spans="1:38" s="83" customFormat="1" ht="32.25" customHeight="1" x14ac:dyDescent="0.3">
      <c r="A195" s="5">
        <v>188</v>
      </c>
      <c r="B195" s="87" t="s">
        <v>196</v>
      </c>
      <c r="C195" s="87" t="s">
        <v>388</v>
      </c>
      <c r="D195" s="138" t="s">
        <v>424</v>
      </c>
      <c r="E195" s="116">
        <v>28</v>
      </c>
      <c r="F195" s="116">
        <v>5</v>
      </c>
      <c r="G195" s="116"/>
      <c r="H195" s="84" t="s">
        <v>766</v>
      </c>
      <c r="I195" s="166" t="s">
        <v>376</v>
      </c>
      <c r="J195" s="23"/>
      <c r="K195" s="146" t="s">
        <v>303</v>
      </c>
      <c r="L195" s="166" t="s">
        <v>368</v>
      </c>
      <c r="M195" s="116">
        <v>1970</v>
      </c>
      <c r="N195" s="141" t="s">
        <v>377</v>
      </c>
      <c r="O195" s="116">
        <v>9</v>
      </c>
      <c r="P195" s="116">
        <v>0</v>
      </c>
      <c r="Q195" s="116">
        <v>1</v>
      </c>
      <c r="R195" s="116">
        <v>45</v>
      </c>
      <c r="S195" s="142">
        <v>2083.9</v>
      </c>
      <c r="T195" s="143">
        <f t="shared" si="6"/>
        <v>2083.9</v>
      </c>
      <c r="U195" s="142">
        <v>1255.5999999999999</v>
      </c>
      <c r="V195" s="142">
        <f t="shared" si="7"/>
        <v>828.30000000000018</v>
      </c>
      <c r="W195" s="144" t="s">
        <v>218</v>
      </c>
      <c r="X195" s="145" t="s">
        <v>218</v>
      </c>
      <c r="Y195" s="116" t="s">
        <v>218</v>
      </c>
      <c r="Z195" s="145" t="s">
        <v>218</v>
      </c>
      <c r="AA195" s="116" t="s">
        <v>218</v>
      </c>
      <c r="AB195" s="145" t="str">
        <f t="shared" si="8"/>
        <v>да</v>
      </c>
      <c r="AC195" s="116" t="s">
        <v>219</v>
      </c>
      <c r="AD195" s="116" t="s">
        <v>218</v>
      </c>
      <c r="AE195" s="116" t="s">
        <v>219</v>
      </c>
      <c r="AF195" s="145">
        <v>1</v>
      </c>
      <c r="AG195" s="116">
        <v>2</v>
      </c>
      <c r="AH195" s="132">
        <v>1</v>
      </c>
      <c r="AI195" s="116">
        <v>1</v>
      </c>
      <c r="AJ195" s="116">
        <f>'[1]ТЭ (прил. 2.1)'!AY198</f>
        <v>0</v>
      </c>
      <c r="AK195" s="116">
        <v>0</v>
      </c>
      <c r="AL195" s="81"/>
    </row>
    <row r="196" spans="1:38" s="83" customFormat="1" ht="32.25" customHeight="1" x14ac:dyDescent="0.3">
      <c r="A196" s="80">
        <v>189</v>
      </c>
      <c r="B196" s="87" t="s">
        <v>196</v>
      </c>
      <c r="C196" s="87" t="s">
        <v>388</v>
      </c>
      <c r="D196" s="138" t="s">
        <v>424</v>
      </c>
      <c r="E196" s="116">
        <v>32</v>
      </c>
      <c r="F196" s="116">
        <v>1</v>
      </c>
      <c r="G196" s="116"/>
      <c r="H196" s="84" t="s">
        <v>767</v>
      </c>
      <c r="I196" s="166" t="s">
        <v>376</v>
      </c>
      <c r="J196" s="23"/>
      <c r="K196" s="146" t="s">
        <v>199</v>
      </c>
      <c r="L196" s="166" t="s">
        <v>378</v>
      </c>
      <c r="M196" s="116">
        <v>1967</v>
      </c>
      <c r="N196" s="147" t="s">
        <v>384</v>
      </c>
      <c r="O196" s="116">
        <v>9</v>
      </c>
      <c r="P196" s="116">
        <v>0</v>
      </c>
      <c r="Q196" s="116">
        <v>6</v>
      </c>
      <c r="R196" s="116">
        <v>216</v>
      </c>
      <c r="S196" s="142">
        <v>11335.2</v>
      </c>
      <c r="T196" s="143">
        <f t="shared" si="6"/>
        <v>11335.2</v>
      </c>
      <c r="U196" s="142">
        <v>7414.23</v>
      </c>
      <c r="V196" s="142">
        <f t="shared" si="7"/>
        <v>3920.9700000000012</v>
      </c>
      <c r="W196" s="144" t="s">
        <v>218</v>
      </c>
      <c r="X196" s="145" t="s">
        <v>218</v>
      </c>
      <c r="Y196" s="116" t="s">
        <v>218</v>
      </c>
      <c r="Z196" s="145" t="s">
        <v>218</v>
      </c>
      <c r="AA196" s="116" t="s">
        <v>218</v>
      </c>
      <c r="AB196" s="145" t="str">
        <f t="shared" si="8"/>
        <v>да</v>
      </c>
      <c r="AC196" s="116" t="s">
        <v>219</v>
      </c>
      <c r="AD196" s="116" t="s">
        <v>218</v>
      </c>
      <c r="AE196" s="116" t="s">
        <v>219</v>
      </c>
      <c r="AF196" s="145">
        <v>6</v>
      </c>
      <c r="AG196" s="116">
        <v>2</v>
      </c>
      <c r="AH196" s="132">
        <v>1</v>
      </c>
      <c r="AI196" s="116">
        <v>1</v>
      </c>
      <c r="AJ196" s="116">
        <f>'[1]ТЭ (прил. 2.1)'!AY199</f>
        <v>0</v>
      </c>
      <c r="AK196" s="116">
        <v>0</v>
      </c>
      <c r="AL196" s="81"/>
    </row>
    <row r="197" spans="1:38" s="83" customFormat="1" ht="32.25" customHeight="1" x14ac:dyDescent="0.3">
      <c r="A197" s="114">
        <v>190</v>
      </c>
      <c r="B197" s="87" t="s">
        <v>196</v>
      </c>
      <c r="C197" s="87" t="s">
        <v>388</v>
      </c>
      <c r="D197" s="138" t="s">
        <v>424</v>
      </c>
      <c r="E197" s="116">
        <v>7</v>
      </c>
      <c r="F197" s="116" t="s">
        <v>245</v>
      </c>
      <c r="G197" s="116"/>
      <c r="H197" s="84" t="s">
        <v>768</v>
      </c>
      <c r="I197" s="166" t="s">
        <v>376</v>
      </c>
      <c r="J197" s="23"/>
      <c r="K197" s="146" t="s">
        <v>303</v>
      </c>
      <c r="L197" s="166" t="s">
        <v>369</v>
      </c>
      <c r="M197" s="116">
        <v>1971</v>
      </c>
      <c r="N197" s="141" t="s">
        <v>377</v>
      </c>
      <c r="O197" s="116">
        <v>9</v>
      </c>
      <c r="P197" s="116">
        <v>0</v>
      </c>
      <c r="Q197" s="116">
        <v>8</v>
      </c>
      <c r="R197" s="116">
        <v>466</v>
      </c>
      <c r="S197" s="142">
        <v>22709.78</v>
      </c>
      <c r="T197" s="143">
        <f t="shared" si="6"/>
        <v>22709.78</v>
      </c>
      <c r="U197" s="142">
        <v>14324.82</v>
      </c>
      <c r="V197" s="142">
        <f t="shared" si="7"/>
        <v>8384.9599999999991</v>
      </c>
      <c r="W197" s="144" t="s">
        <v>218</v>
      </c>
      <c r="X197" s="145" t="s">
        <v>218</v>
      </c>
      <c r="Y197" s="116" t="s">
        <v>218</v>
      </c>
      <c r="Z197" s="145" t="s">
        <v>218</v>
      </c>
      <c r="AA197" s="116" t="s">
        <v>218</v>
      </c>
      <c r="AB197" s="145" t="str">
        <f t="shared" si="8"/>
        <v>да</v>
      </c>
      <c r="AC197" s="116" t="s">
        <v>219</v>
      </c>
      <c r="AD197" s="116" t="s">
        <v>218</v>
      </c>
      <c r="AE197" s="116" t="s">
        <v>219</v>
      </c>
      <c r="AF197" s="145">
        <v>8</v>
      </c>
      <c r="AG197" s="116">
        <v>4</v>
      </c>
      <c r="AH197" s="132">
        <v>2</v>
      </c>
      <c r="AI197" s="116">
        <v>4</v>
      </c>
      <c r="AJ197" s="116">
        <f>'[1]ТЭ (прил. 2.1)'!AY200</f>
        <v>0</v>
      </c>
      <c r="AK197" s="116">
        <v>0</v>
      </c>
      <c r="AL197" s="81"/>
    </row>
    <row r="198" spans="1:38" s="83" customFormat="1" ht="32.25" customHeight="1" x14ac:dyDescent="0.3">
      <c r="A198" s="5">
        <v>191</v>
      </c>
      <c r="B198" s="87" t="s">
        <v>196</v>
      </c>
      <c r="C198" s="87" t="s">
        <v>388</v>
      </c>
      <c r="D198" s="138" t="s">
        <v>424</v>
      </c>
      <c r="E198" s="116">
        <v>8</v>
      </c>
      <c r="F198" s="116">
        <v>1</v>
      </c>
      <c r="G198" s="116"/>
      <c r="H198" s="84" t="s">
        <v>769</v>
      </c>
      <c r="I198" s="166" t="s">
        <v>376</v>
      </c>
      <c r="J198" s="23"/>
      <c r="K198" s="146" t="s">
        <v>199</v>
      </c>
      <c r="L198" s="166" t="s">
        <v>389</v>
      </c>
      <c r="M198" s="116">
        <v>1969</v>
      </c>
      <c r="N198" s="141" t="s">
        <v>303</v>
      </c>
      <c r="O198" s="116">
        <v>9</v>
      </c>
      <c r="P198" s="116">
        <v>0</v>
      </c>
      <c r="Q198" s="116">
        <v>7</v>
      </c>
      <c r="R198" s="116">
        <v>267</v>
      </c>
      <c r="S198" s="142">
        <v>13150.55</v>
      </c>
      <c r="T198" s="143">
        <f t="shared" si="6"/>
        <v>13150.55</v>
      </c>
      <c r="U198" s="142">
        <v>8762.7000000000007</v>
      </c>
      <c r="V198" s="142">
        <f t="shared" si="7"/>
        <v>4387.8499999999985</v>
      </c>
      <c r="W198" s="144" t="s">
        <v>218</v>
      </c>
      <c r="X198" s="145" t="s">
        <v>218</v>
      </c>
      <c r="Y198" s="116" t="s">
        <v>218</v>
      </c>
      <c r="Z198" s="145" t="s">
        <v>218</v>
      </c>
      <c r="AA198" s="116" t="s">
        <v>218</v>
      </c>
      <c r="AB198" s="145" t="str">
        <f t="shared" si="8"/>
        <v>да</v>
      </c>
      <c r="AC198" s="116" t="s">
        <v>219</v>
      </c>
      <c r="AD198" s="116" t="s">
        <v>218</v>
      </c>
      <c r="AE198" s="116" t="s">
        <v>219</v>
      </c>
      <c r="AF198" s="145">
        <v>7</v>
      </c>
      <c r="AG198" s="116">
        <v>2</v>
      </c>
      <c r="AH198" s="132">
        <v>1</v>
      </c>
      <c r="AI198" s="116">
        <v>1</v>
      </c>
      <c r="AJ198" s="116">
        <f>'[1]ТЭ (прил. 2.1)'!AY201</f>
        <v>0</v>
      </c>
      <c r="AK198" s="116">
        <v>0</v>
      </c>
      <c r="AL198" s="81"/>
    </row>
    <row r="199" spans="1:38" s="83" customFormat="1" ht="32.25" customHeight="1" x14ac:dyDescent="0.3">
      <c r="A199" s="80">
        <v>192</v>
      </c>
      <c r="B199" s="87" t="s">
        <v>196</v>
      </c>
      <c r="C199" s="87" t="s">
        <v>388</v>
      </c>
      <c r="D199" s="138" t="s">
        <v>424</v>
      </c>
      <c r="E199" s="116">
        <v>8</v>
      </c>
      <c r="F199" s="116">
        <v>2</v>
      </c>
      <c r="G199" s="116"/>
      <c r="H199" s="84" t="s">
        <v>770</v>
      </c>
      <c r="I199" s="166" t="s">
        <v>376</v>
      </c>
      <c r="J199" s="23"/>
      <c r="K199" s="140" t="s">
        <v>372</v>
      </c>
      <c r="L199" s="166" t="s">
        <v>417</v>
      </c>
      <c r="M199" s="116">
        <v>1966</v>
      </c>
      <c r="N199" s="141" t="s">
        <v>303</v>
      </c>
      <c r="O199" s="116">
        <v>5</v>
      </c>
      <c r="P199" s="116">
        <v>0</v>
      </c>
      <c r="Q199" s="116">
        <v>7</v>
      </c>
      <c r="R199" s="116">
        <v>70</v>
      </c>
      <c r="S199" s="142">
        <v>3207.3</v>
      </c>
      <c r="T199" s="143">
        <f t="shared" si="6"/>
        <v>3207.3</v>
      </c>
      <c r="U199" s="142">
        <v>2340.5</v>
      </c>
      <c r="V199" s="142">
        <f t="shared" si="7"/>
        <v>866.80000000000018</v>
      </c>
      <c r="W199" s="144" t="s">
        <v>218</v>
      </c>
      <c r="X199" s="145" t="s">
        <v>218</v>
      </c>
      <c r="Y199" s="116" t="s">
        <v>218</v>
      </c>
      <c r="Z199" s="145" t="s">
        <v>218</v>
      </c>
      <c r="AA199" s="116" t="s">
        <v>218</v>
      </c>
      <c r="AB199" s="145" t="str">
        <f t="shared" si="8"/>
        <v>да</v>
      </c>
      <c r="AC199" s="116" t="s">
        <v>219</v>
      </c>
      <c r="AD199" s="116" t="s">
        <v>218</v>
      </c>
      <c r="AE199" s="116" t="s">
        <v>219</v>
      </c>
      <c r="AF199" s="145">
        <v>0</v>
      </c>
      <c r="AG199" s="116">
        <v>1</v>
      </c>
      <c r="AH199" s="132">
        <v>1</v>
      </c>
      <c r="AI199" s="116">
        <v>1</v>
      </c>
      <c r="AJ199" s="116">
        <f>'[1]ТЭ (прил. 2.1)'!AY202</f>
        <v>0</v>
      </c>
      <c r="AK199" s="116">
        <v>0</v>
      </c>
      <c r="AL199" s="81"/>
    </row>
    <row r="200" spans="1:38" s="83" customFormat="1" ht="32.25" customHeight="1" x14ac:dyDescent="0.3">
      <c r="A200" s="114">
        <v>193</v>
      </c>
      <c r="B200" s="87" t="s">
        <v>196</v>
      </c>
      <c r="C200" s="87" t="s">
        <v>388</v>
      </c>
      <c r="D200" s="138" t="s">
        <v>424</v>
      </c>
      <c r="E200" s="116">
        <v>8</v>
      </c>
      <c r="F200" s="116">
        <v>3</v>
      </c>
      <c r="G200" s="116"/>
      <c r="H200" s="84" t="s">
        <v>771</v>
      </c>
      <c r="I200" s="166" t="s">
        <v>376</v>
      </c>
      <c r="J200" s="23"/>
      <c r="K200" s="140" t="s">
        <v>372</v>
      </c>
      <c r="L200" s="166" t="s">
        <v>417</v>
      </c>
      <c r="M200" s="116">
        <v>1966</v>
      </c>
      <c r="N200" s="141" t="s">
        <v>303</v>
      </c>
      <c r="O200" s="116">
        <v>5</v>
      </c>
      <c r="P200" s="116">
        <v>0</v>
      </c>
      <c r="Q200" s="116">
        <v>7</v>
      </c>
      <c r="R200" s="116">
        <v>70</v>
      </c>
      <c r="S200" s="142">
        <v>3215.8</v>
      </c>
      <c r="T200" s="143">
        <f t="shared" si="6"/>
        <v>3215.8</v>
      </c>
      <c r="U200" s="142">
        <v>2346.1999999999998</v>
      </c>
      <c r="V200" s="142">
        <f t="shared" si="7"/>
        <v>869.60000000000036</v>
      </c>
      <c r="W200" s="144" t="s">
        <v>218</v>
      </c>
      <c r="X200" s="145" t="s">
        <v>218</v>
      </c>
      <c r="Y200" s="116" t="s">
        <v>218</v>
      </c>
      <c r="Z200" s="145" t="s">
        <v>218</v>
      </c>
      <c r="AA200" s="116" t="s">
        <v>218</v>
      </c>
      <c r="AB200" s="145" t="str">
        <f t="shared" si="8"/>
        <v>да</v>
      </c>
      <c r="AC200" s="116" t="s">
        <v>219</v>
      </c>
      <c r="AD200" s="116" t="s">
        <v>218</v>
      </c>
      <c r="AE200" s="116" t="s">
        <v>219</v>
      </c>
      <c r="AF200" s="145">
        <v>0</v>
      </c>
      <c r="AG200" s="116">
        <v>1</v>
      </c>
      <c r="AH200" s="132">
        <v>1</v>
      </c>
      <c r="AI200" s="116">
        <v>1</v>
      </c>
      <c r="AJ200" s="116">
        <f>'[1]ТЭ (прил. 2.1)'!AY203</f>
        <v>0</v>
      </c>
      <c r="AK200" s="116">
        <v>0</v>
      </c>
      <c r="AL200" s="81"/>
    </row>
    <row r="201" spans="1:38" s="83" customFormat="1" ht="32.25" customHeight="1" x14ac:dyDescent="0.3">
      <c r="A201" s="5">
        <v>194</v>
      </c>
      <c r="B201" s="87" t="s">
        <v>196</v>
      </c>
      <c r="C201" s="87" t="s">
        <v>388</v>
      </c>
      <c r="D201" s="138" t="s">
        <v>424</v>
      </c>
      <c r="E201" s="116">
        <v>8</v>
      </c>
      <c r="F201" s="116">
        <v>4</v>
      </c>
      <c r="G201" s="116"/>
      <c r="H201" s="84" t="s">
        <v>772</v>
      </c>
      <c r="I201" s="166" t="s">
        <v>376</v>
      </c>
      <c r="J201" s="23"/>
      <c r="K201" s="140" t="s">
        <v>372</v>
      </c>
      <c r="L201" s="166" t="s">
        <v>417</v>
      </c>
      <c r="M201" s="116">
        <v>1966</v>
      </c>
      <c r="N201" s="141" t="s">
        <v>303</v>
      </c>
      <c r="O201" s="116">
        <v>5</v>
      </c>
      <c r="P201" s="116">
        <v>0</v>
      </c>
      <c r="Q201" s="116">
        <v>7</v>
      </c>
      <c r="R201" s="116">
        <v>70</v>
      </c>
      <c r="S201" s="142">
        <v>3248.8</v>
      </c>
      <c r="T201" s="143">
        <f t="shared" si="6"/>
        <v>3248.8</v>
      </c>
      <c r="U201" s="142">
        <v>2336.1</v>
      </c>
      <c r="V201" s="142">
        <f t="shared" si="7"/>
        <v>912.70000000000027</v>
      </c>
      <c r="W201" s="144" t="s">
        <v>218</v>
      </c>
      <c r="X201" s="145" t="s">
        <v>218</v>
      </c>
      <c r="Y201" s="116" t="s">
        <v>218</v>
      </c>
      <c r="Z201" s="145" t="s">
        <v>218</v>
      </c>
      <c r="AA201" s="116" t="s">
        <v>218</v>
      </c>
      <c r="AB201" s="145" t="str">
        <f t="shared" si="8"/>
        <v>да</v>
      </c>
      <c r="AC201" s="116" t="s">
        <v>219</v>
      </c>
      <c r="AD201" s="116" t="s">
        <v>218</v>
      </c>
      <c r="AE201" s="116" t="s">
        <v>219</v>
      </c>
      <c r="AF201" s="145">
        <v>0</v>
      </c>
      <c r="AG201" s="116">
        <v>1</v>
      </c>
      <c r="AH201" s="132">
        <v>1</v>
      </c>
      <c r="AI201" s="116">
        <v>1</v>
      </c>
      <c r="AJ201" s="116">
        <f>'[1]ТЭ (прил. 2.1)'!AY204</f>
        <v>0</v>
      </c>
      <c r="AK201" s="116">
        <v>0</v>
      </c>
      <c r="AL201" s="81"/>
    </row>
    <row r="202" spans="1:38" s="83" customFormat="1" ht="32.25" customHeight="1" x14ac:dyDescent="0.3">
      <c r="A202" s="80">
        <v>195</v>
      </c>
      <c r="B202" s="87" t="s">
        <v>196</v>
      </c>
      <c r="C202" s="87" t="s">
        <v>388</v>
      </c>
      <c r="D202" s="138" t="s">
        <v>424</v>
      </c>
      <c r="E202" s="116">
        <v>8</v>
      </c>
      <c r="F202" s="116">
        <v>5</v>
      </c>
      <c r="G202" s="116"/>
      <c r="H202" s="84" t="s">
        <v>773</v>
      </c>
      <c r="I202" s="166" t="s">
        <v>376</v>
      </c>
      <c r="J202" s="23"/>
      <c r="K202" s="140" t="s">
        <v>372</v>
      </c>
      <c r="L202" s="166" t="s">
        <v>417</v>
      </c>
      <c r="M202" s="116">
        <v>1966</v>
      </c>
      <c r="N202" s="141" t="s">
        <v>303</v>
      </c>
      <c r="O202" s="116">
        <v>5</v>
      </c>
      <c r="P202" s="116">
        <v>0</v>
      </c>
      <c r="Q202" s="116">
        <v>7</v>
      </c>
      <c r="R202" s="116">
        <v>70</v>
      </c>
      <c r="S202" s="142">
        <v>3217.9</v>
      </c>
      <c r="T202" s="143">
        <f t="shared" si="6"/>
        <v>3217.9</v>
      </c>
      <c r="U202" s="142">
        <v>2344.5</v>
      </c>
      <c r="V202" s="142">
        <f t="shared" si="7"/>
        <v>873.40000000000009</v>
      </c>
      <c r="W202" s="144" t="s">
        <v>218</v>
      </c>
      <c r="X202" s="145" t="s">
        <v>218</v>
      </c>
      <c r="Y202" s="116" t="s">
        <v>218</v>
      </c>
      <c r="Z202" s="145" t="s">
        <v>218</v>
      </c>
      <c r="AA202" s="116" t="s">
        <v>218</v>
      </c>
      <c r="AB202" s="145" t="str">
        <f t="shared" si="8"/>
        <v>да</v>
      </c>
      <c r="AC202" s="116" t="s">
        <v>219</v>
      </c>
      <c r="AD202" s="116" t="s">
        <v>218</v>
      </c>
      <c r="AE202" s="116" t="s">
        <v>219</v>
      </c>
      <c r="AF202" s="145">
        <v>0</v>
      </c>
      <c r="AG202" s="116">
        <v>1</v>
      </c>
      <c r="AH202" s="132">
        <v>1</v>
      </c>
      <c r="AI202" s="116">
        <v>1</v>
      </c>
      <c r="AJ202" s="116">
        <f>'[1]ТЭ (прил. 2.1)'!AY205</f>
        <v>0</v>
      </c>
      <c r="AK202" s="116">
        <v>0</v>
      </c>
      <c r="AL202" s="81"/>
    </row>
    <row r="203" spans="1:38" s="83" customFormat="1" ht="32.25" customHeight="1" x14ac:dyDescent="0.3">
      <c r="A203" s="114">
        <v>196</v>
      </c>
      <c r="B203" s="87" t="s">
        <v>196</v>
      </c>
      <c r="C203" s="87" t="s">
        <v>388</v>
      </c>
      <c r="D203" s="138" t="s">
        <v>424</v>
      </c>
      <c r="E203" s="116">
        <v>9</v>
      </c>
      <c r="F203" s="116">
        <v>1</v>
      </c>
      <c r="G203" s="116"/>
      <c r="H203" s="84" t="s">
        <v>774</v>
      </c>
      <c r="I203" s="166" t="s">
        <v>376</v>
      </c>
      <c r="J203" s="23"/>
      <c r="K203" s="146" t="s">
        <v>199</v>
      </c>
      <c r="L203" s="166" t="s">
        <v>378</v>
      </c>
      <c r="M203" s="116">
        <v>1968</v>
      </c>
      <c r="N203" s="141" t="s">
        <v>380</v>
      </c>
      <c r="O203" s="116">
        <v>9</v>
      </c>
      <c r="P203" s="116">
        <v>0</v>
      </c>
      <c r="Q203" s="116">
        <v>6</v>
      </c>
      <c r="R203" s="116">
        <v>217</v>
      </c>
      <c r="S203" s="142">
        <v>11206.7</v>
      </c>
      <c r="T203" s="143">
        <f t="shared" si="6"/>
        <v>11206.7</v>
      </c>
      <c r="U203" s="142">
        <v>7365.2</v>
      </c>
      <c r="V203" s="142">
        <f t="shared" si="7"/>
        <v>3841.5000000000009</v>
      </c>
      <c r="W203" s="144" t="s">
        <v>218</v>
      </c>
      <c r="X203" s="145" t="s">
        <v>218</v>
      </c>
      <c r="Y203" s="116" t="s">
        <v>218</v>
      </c>
      <c r="Z203" s="145" t="s">
        <v>218</v>
      </c>
      <c r="AA203" s="116" t="s">
        <v>218</v>
      </c>
      <c r="AB203" s="145" t="str">
        <f t="shared" si="8"/>
        <v>да</v>
      </c>
      <c r="AC203" s="116" t="s">
        <v>219</v>
      </c>
      <c r="AD203" s="116" t="s">
        <v>218</v>
      </c>
      <c r="AE203" s="116" t="s">
        <v>219</v>
      </c>
      <c r="AF203" s="145">
        <v>6</v>
      </c>
      <c r="AG203" s="116">
        <v>2</v>
      </c>
      <c r="AH203" s="132">
        <v>1</v>
      </c>
      <c r="AI203" s="116">
        <v>1</v>
      </c>
      <c r="AJ203" s="116">
        <f>'[1]ТЭ (прил. 2.1)'!AY206</f>
        <v>0</v>
      </c>
      <c r="AK203" s="116">
        <v>0</v>
      </c>
      <c r="AL203" s="81"/>
    </row>
    <row r="204" spans="1:38" s="83" customFormat="1" ht="32.25" customHeight="1" x14ac:dyDescent="0.3">
      <c r="A204" s="5">
        <v>197</v>
      </c>
      <c r="B204" s="87" t="s">
        <v>196</v>
      </c>
      <c r="C204" s="87" t="s">
        <v>388</v>
      </c>
      <c r="D204" s="138" t="s">
        <v>424</v>
      </c>
      <c r="E204" s="116">
        <v>9</v>
      </c>
      <c r="F204" s="116">
        <v>2</v>
      </c>
      <c r="G204" s="116"/>
      <c r="H204" s="84" t="s">
        <v>775</v>
      </c>
      <c r="I204" s="166" t="s">
        <v>376</v>
      </c>
      <c r="J204" s="23"/>
      <c r="K204" s="146" t="s">
        <v>199</v>
      </c>
      <c r="L204" s="166" t="s">
        <v>378</v>
      </c>
      <c r="M204" s="116">
        <v>1968</v>
      </c>
      <c r="N204" s="141" t="s">
        <v>380</v>
      </c>
      <c r="O204" s="116">
        <v>9</v>
      </c>
      <c r="P204" s="116">
        <v>0</v>
      </c>
      <c r="Q204" s="116">
        <v>6</v>
      </c>
      <c r="R204" s="116">
        <v>221</v>
      </c>
      <c r="S204" s="142">
        <v>11275.09</v>
      </c>
      <c r="T204" s="143">
        <f t="shared" si="6"/>
        <v>11275.09</v>
      </c>
      <c r="U204" s="142">
        <v>7429.4</v>
      </c>
      <c r="V204" s="142">
        <f t="shared" si="7"/>
        <v>3845.6900000000005</v>
      </c>
      <c r="W204" s="144" t="s">
        <v>218</v>
      </c>
      <c r="X204" s="145" t="s">
        <v>218</v>
      </c>
      <c r="Y204" s="116" t="s">
        <v>218</v>
      </c>
      <c r="Z204" s="145" t="s">
        <v>218</v>
      </c>
      <c r="AA204" s="116" t="s">
        <v>218</v>
      </c>
      <c r="AB204" s="145" t="str">
        <f t="shared" si="8"/>
        <v>да</v>
      </c>
      <c r="AC204" s="116" t="s">
        <v>219</v>
      </c>
      <c r="AD204" s="116" t="s">
        <v>218</v>
      </c>
      <c r="AE204" s="116" t="s">
        <v>219</v>
      </c>
      <c r="AF204" s="145">
        <v>6</v>
      </c>
      <c r="AG204" s="116">
        <v>2</v>
      </c>
      <c r="AH204" s="132">
        <v>1</v>
      </c>
      <c r="AI204" s="116">
        <v>1</v>
      </c>
      <c r="AJ204" s="116">
        <f>'[1]ТЭ (прил. 2.1)'!AY207</f>
        <v>0</v>
      </c>
      <c r="AK204" s="116">
        <v>0</v>
      </c>
      <c r="AL204" s="81"/>
    </row>
    <row r="205" spans="1:38" s="83" customFormat="1" ht="32.25" customHeight="1" x14ac:dyDescent="0.3">
      <c r="A205" s="80">
        <v>198</v>
      </c>
      <c r="B205" s="87" t="s">
        <v>196</v>
      </c>
      <c r="C205" s="87" t="s">
        <v>388</v>
      </c>
      <c r="D205" s="138" t="s">
        <v>424</v>
      </c>
      <c r="E205" s="116">
        <v>9</v>
      </c>
      <c r="F205" s="116">
        <v>5</v>
      </c>
      <c r="G205" s="116"/>
      <c r="H205" s="84" t="s">
        <v>776</v>
      </c>
      <c r="I205" s="166" t="s">
        <v>376</v>
      </c>
      <c r="J205" s="23"/>
      <c r="K205" s="146" t="s">
        <v>199</v>
      </c>
      <c r="L205" s="166" t="s">
        <v>378</v>
      </c>
      <c r="M205" s="116">
        <v>1971</v>
      </c>
      <c r="N205" s="147" t="s">
        <v>380</v>
      </c>
      <c r="O205" s="116">
        <v>9</v>
      </c>
      <c r="P205" s="116">
        <v>0</v>
      </c>
      <c r="Q205" s="116">
        <v>6</v>
      </c>
      <c r="R205" s="116">
        <v>216</v>
      </c>
      <c r="S205" s="142">
        <v>11563.9</v>
      </c>
      <c r="T205" s="143">
        <f t="shared" si="6"/>
        <v>11563.9</v>
      </c>
      <c r="U205" s="142">
        <v>7330.8</v>
      </c>
      <c r="V205" s="142">
        <f t="shared" si="7"/>
        <v>4233.0999999999995</v>
      </c>
      <c r="W205" s="144" t="s">
        <v>218</v>
      </c>
      <c r="X205" s="145" t="s">
        <v>218</v>
      </c>
      <c r="Y205" s="116" t="s">
        <v>218</v>
      </c>
      <c r="Z205" s="145" t="s">
        <v>218</v>
      </c>
      <c r="AA205" s="116" t="s">
        <v>218</v>
      </c>
      <c r="AB205" s="145" t="str">
        <f t="shared" si="8"/>
        <v>да</v>
      </c>
      <c r="AC205" s="116" t="s">
        <v>219</v>
      </c>
      <c r="AD205" s="116" t="s">
        <v>218</v>
      </c>
      <c r="AE205" s="116" t="s">
        <v>219</v>
      </c>
      <c r="AF205" s="145">
        <v>1</v>
      </c>
      <c r="AG205" s="116">
        <v>2</v>
      </c>
      <c r="AH205" s="132">
        <v>1</v>
      </c>
      <c r="AI205" s="116">
        <v>1</v>
      </c>
      <c r="AJ205" s="116">
        <f>'[1]ТЭ (прил. 2.1)'!AY208</f>
        <v>0</v>
      </c>
      <c r="AK205" s="116">
        <v>0</v>
      </c>
      <c r="AL205" s="81"/>
    </row>
    <row r="206" spans="1:38" s="83" customFormat="1" ht="32.25" customHeight="1" x14ac:dyDescent="0.3">
      <c r="A206" s="114">
        <v>199</v>
      </c>
      <c r="B206" s="87" t="s">
        <v>196</v>
      </c>
      <c r="C206" s="87" t="s">
        <v>381</v>
      </c>
      <c r="D206" s="138" t="s">
        <v>427</v>
      </c>
      <c r="E206" s="116">
        <v>26</v>
      </c>
      <c r="F206" s="116">
        <v>1</v>
      </c>
      <c r="G206" s="116"/>
      <c r="H206" s="84" t="s">
        <v>777</v>
      </c>
      <c r="I206" s="166" t="s">
        <v>376</v>
      </c>
      <c r="J206" s="23"/>
      <c r="K206" s="146" t="s">
        <v>199</v>
      </c>
      <c r="L206" s="166">
        <v>137</v>
      </c>
      <c r="M206" s="116">
        <v>1984</v>
      </c>
      <c r="N206" s="141" t="s">
        <v>303</v>
      </c>
      <c r="O206" s="148" t="s">
        <v>201</v>
      </c>
      <c r="P206" s="116">
        <v>0</v>
      </c>
      <c r="Q206" s="116">
        <v>7</v>
      </c>
      <c r="R206" s="116">
        <v>441</v>
      </c>
      <c r="S206" s="142">
        <v>27371.599999999999</v>
      </c>
      <c r="T206" s="143">
        <f t="shared" si="6"/>
        <v>27371.599999999999</v>
      </c>
      <c r="U206" s="142">
        <v>14450.6</v>
      </c>
      <c r="V206" s="142">
        <f t="shared" si="7"/>
        <v>12920.999999999998</v>
      </c>
      <c r="W206" s="144" t="s">
        <v>218</v>
      </c>
      <c r="X206" s="145" t="s">
        <v>218</v>
      </c>
      <c r="Y206" s="116" t="s">
        <v>218</v>
      </c>
      <c r="Z206" s="145" t="s">
        <v>218</v>
      </c>
      <c r="AA206" s="116" t="s">
        <v>218</v>
      </c>
      <c r="AB206" s="145" t="str">
        <f t="shared" si="8"/>
        <v>нет</v>
      </c>
      <c r="AC206" s="116" t="s">
        <v>219</v>
      </c>
      <c r="AD206" s="116" t="s">
        <v>219</v>
      </c>
      <c r="AE206" s="116" t="s">
        <v>218</v>
      </c>
      <c r="AF206" s="145">
        <v>14</v>
      </c>
      <c r="AG206" s="116">
        <v>4</v>
      </c>
      <c r="AH206" s="132">
        <v>4</v>
      </c>
      <c r="AI206" s="116">
        <v>1</v>
      </c>
      <c r="AJ206" s="116">
        <f>'[1]ТЭ (прил. 2.1)'!AY209</f>
        <v>0</v>
      </c>
      <c r="AK206" s="116">
        <v>0</v>
      </c>
      <c r="AL206" s="81"/>
    </row>
    <row r="207" spans="1:38" s="83" customFormat="1" ht="32.25" customHeight="1" x14ac:dyDescent="0.3">
      <c r="A207" s="5">
        <v>200</v>
      </c>
      <c r="B207" s="87" t="s">
        <v>196</v>
      </c>
      <c r="C207" s="87" t="s">
        <v>381</v>
      </c>
      <c r="D207" s="138" t="s">
        <v>428</v>
      </c>
      <c r="E207" s="148" t="s">
        <v>429</v>
      </c>
      <c r="F207" s="116" t="s">
        <v>245</v>
      </c>
      <c r="G207" s="116"/>
      <c r="H207" s="84" t="s">
        <v>778</v>
      </c>
      <c r="I207" s="166" t="s">
        <v>247</v>
      </c>
      <c r="J207" s="23"/>
      <c r="K207" s="146" t="s">
        <v>199</v>
      </c>
      <c r="L207" s="166">
        <v>137</v>
      </c>
      <c r="M207" s="116">
        <v>1982</v>
      </c>
      <c r="N207" s="141" t="s">
        <v>200</v>
      </c>
      <c r="O207" s="116">
        <v>12</v>
      </c>
      <c r="P207" s="116">
        <v>0</v>
      </c>
      <c r="Q207" s="116">
        <v>9</v>
      </c>
      <c r="R207" s="116">
        <v>664</v>
      </c>
      <c r="S207" s="142">
        <v>36458.5</v>
      </c>
      <c r="T207" s="143">
        <f t="shared" si="6"/>
        <v>36458.5</v>
      </c>
      <c r="U207" s="142">
        <v>20709.3</v>
      </c>
      <c r="V207" s="142">
        <f t="shared" si="7"/>
        <v>15749.2</v>
      </c>
      <c r="W207" s="144" t="s">
        <v>218</v>
      </c>
      <c r="X207" s="145" t="s">
        <v>218</v>
      </c>
      <c r="Y207" s="116" t="s">
        <v>218</v>
      </c>
      <c r="Z207" s="145" t="s">
        <v>218</v>
      </c>
      <c r="AA207" s="116" t="s">
        <v>218</v>
      </c>
      <c r="AB207" s="145" t="str">
        <f t="shared" si="8"/>
        <v>нет</v>
      </c>
      <c r="AC207" s="116" t="s">
        <v>219</v>
      </c>
      <c r="AD207" s="116" t="s">
        <v>219</v>
      </c>
      <c r="AE207" s="116" t="s">
        <v>218</v>
      </c>
      <c r="AF207" s="145">
        <v>18</v>
      </c>
      <c r="AG207" s="116">
        <v>6</v>
      </c>
      <c r="AH207" s="132">
        <v>5</v>
      </c>
      <c r="AI207" s="116">
        <v>1</v>
      </c>
      <c r="AJ207" s="116">
        <f>'[1]ТЭ (прил. 2.1)'!AY210</f>
        <v>0</v>
      </c>
      <c r="AK207" s="116">
        <v>0</v>
      </c>
      <c r="AL207" s="81"/>
    </row>
    <row r="208" spans="1:38" s="83" customFormat="1" ht="32.25" customHeight="1" x14ac:dyDescent="0.3">
      <c r="A208" s="80">
        <v>201</v>
      </c>
      <c r="B208" s="87" t="s">
        <v>196</v>
      </c>
      <c r="C208" s="87" t="s">
        <v>388</v>
      </c>
      <c r="D208" s="138" t="s">
        <v>430</v>
      </c>
      <c r="E208" s="116">
        <v>2</v>
      </c>
      <c r="F208" s="116" t="s">
        <v>245</v>
      </c>
      <c r="G208" s="116"/>
      <c r="H208" s="84" t="s">
        <v>779</v>
      </c>
      <c r="I208" s="166" t="s">
        <v>376</v>
      </c>
      <c r="J208" s="23"/>
      <c r="K208" s="140" t="s">
        <v>372</v>
      </c>
      <c r="L208" s="166" t="s">
        <v>431</v>
      </c>
      <c r="M208" s="116">
        <v>1959</v>
      </c>
      <c r="N208" s="141" t="s">
        <v>377</v>
      </c>
      <c r="O208" s="116">
        <v>2</v>
      </c>
      <c r="P208" s="116">
        <v>0</v>
      </c>
      <c r="Q208" s="116">
        <v>2</v>
      </c>
      <c r="R208" s="116">
        <v>12</v>
      </c>
      <c r="S208" s="142">
        <v>734.4</v>
      </c>
      <c r="T208" s="143">
        <f t="shared" si="6"/>
        <v>734.4</v>
      </c>
      <c r="U208" s="142">
        <v>494.6</v>
      </c>
      <c r="V208" s="142">
        <f t="shared" si="7"/>
        <v>239.79999999999995</v>
      </c>
      <c r="W208" s="144" t="s">
        <v>218</v>
      </c>
      <c r="X208" s="145" t="s">
        <v>218</v>
      </c>
      <c r="Y208" s="116" t="s">
        <v>219</v>
      </c>
      <c r="Z208" s="145" t="s">
        <v>218</v>
      </c>
      <c r="AA208" s="116" t="s">
        <v>218</v>
      </c>
      <c r="AB208" s="145" t="str">
        <f t="shared" si="8"/>
        <v>да</v>
      </c>
      <c r="AC208" s="116" t="s">
        <v>218</v>
      </c>
      <c r="AD208" s="116" t="s">
        <v>218</v>
      </c>
      <c r="AE208" s="116" t="s">
        <v>219</v>
      </c>
      <c r="AF208" s="145">
        <v>0</v>
      </c>
      <c r="AG208" s="116">
        <v>1</v>
      </c>
      <c r="AH208" s="132">
        <v>0</v>
      </c>
      <c r="AI208" s="116">
        <v>0</v>
      </c>
      <c r="AJ208" s="116">
        <f>'[1]ТЭ (прил. 2.1)'!AY211</f>
        <v>0</v>
      </c>
      <c r="AK208" s="116">
        <v>0</v>
      </c>
      <c r="AL208" s="81"/>
    </row>
    <row r="209" spans="1:38" s="83" customFormat="1" ht="32.25" customHeight="1" x14ac:dyDescent="0.3">
      <c r="A209" s="114">
        <v>202</v>
      </c>
      <c r="B209" s="87" t="s">
        <v>196</v>
      </c>
      <c r="C209" s="87" t="s">
        <v>388</v>
      </c>
      <c r="D209" s="138" t="s">
        <v>430</v>
      </c>
      <c r="E209" s="116">
        <v>34</v>
      </c>
      <c r="F209" s="116" t="s">
        <v>245</v>
      </c>
      <c r="G209" s="116"/>
      <c r="H209" s="84" t="s">
        <v>780</v>
      </c>
      <c r="I209" s="166" t="s">
        <v>376</v>
      </c>
      <c r="J209" s="23"/>
      <c r="K209" s="146" t="s">
        <v>303</v>
      </c>
      <c r="L209" s="166" t="s">
        <v>431</v>
      </c>
      <c r="M209" s="116">
        <v>1933</v>
      </c>
      <c r="N209" s="141" t="s">
        <v>432</v>
      </c>
      <c r="O209" s="116">
        <v>4</v>
      </c>
      <c r="P209" s="116">
        <v>0</v>
      </c>
      <c r="Q209" s="116">
        <v>6</v>
      </c>
      <c r="R209" s="116">
        <v>53</v>
      </c>
      <c r="S209" s="142">
        <v>2836.51</v>
      </c>
      <c r="T209" s="143">
        <f t="shared" si="6"/>
        <v>2836.51</v>
      </c>
      <c r="U209" s="142">
        <v>2159.1999999999998</v>
      </c>
      <c r="V209" s="142">
        <f t="shared" si="7"/>
        <v>677.3100000000004</v>
      </c>
      <c r="W209" s="144" t="s">
        <v>218</v>
      </c>
      <c r="X209" s="145" t="s">
        <v>218</v>
      </c>
      <c r="Y209" s="116" t="s">
        <v>219</v>
      </c>
      <c r="Z209" s="145" t="s">
        <v>218</v>
      </c>
      <c r="AA209" s="116" t="s">
        <v>218</v>
      </c>
      <c r="AB209" s="145" t="str">
        <f t="shared" si="8"/>
        <v>да</v>
      </c>
      <c r="AC209" s="116" t="s">
        <v>218</v>
      </c>
      <c r="AD209" s="116" t="s">
        <v>218</v>
      </c>
      <c r="AE209" s="116" t="s">
        <v>219</v>
      </c>
      <c r="AF209" s="145">
        <v>0</v>
      </c>
      <c r="AG209" s="116">
        <v>1</v>
      </c>
      <c r="AH209" s="132">
        <v>0</v>
      </c>
      <c r="AI209" s="116">
        <v>0</v>
      </c>
      <c r="AJ209" s="116">
        <f>'[1]ТЭ (прил. 2.1)'!AY212</f>
        <v>0</v>
      </c>
      <c r="AK209" s="116">
        <v>0</v>
      </c>
      <c r="AL209" s="81"/>
    </row>
    <row r="210" spans="1:38" s="83" customFormat="1" ht="32.25" customHeight="1" x14ac:dyDescent="0.3">
      <c r="A210" s="5">
        <v>203</v>
      </c>
      <c r="B210" s="87" t="s">
        <v>196</v>
      </c>
      <c r="C210" s="87" t="s">
        <v>388</v>
      </c>
      <c r="D210" s="138" t="s">
        <v>430</v>
      </c>
      <c r="E210" s="116">
        <v>4</v>
      </c>
      <c r="F210" s="116" t="s">
        <v>245</v>
      </c>
      <c r="G210" s="116"/>
      <c r="H210" s="84" t="s">
        <v>781</v>
      </c>
      <c r="I210" s="166" t="s">
        <v>376</v>
      </c>
      <c r="J210" s="23"/>
      <c r="K210" s="140" t="s">
        <v>372</v>
      </c>
      <c r="L210" s="166" t="s">
        <v>431</v>
      </c>
      <c r="M210" s="116">
        <v>1959</v>
      </c>
      <c r="N210" s="141" t="s">
        <v>377</v>
      </c>
      <c r="O210" s="116">
        <v>2</v>
      </c>
      <c r="P210" s="116">
        <v>0</v>
      </c>
      <c r="Q210" s="116">
        <v>2</v>
      </c>
      <c r="R210" s="116">
        <v>13</v>
      </c>
      <c r="S210" s="142">
        <v>967.7</v>
      </c>
      <c r="T210" s="143">
        <f t="shared" si="6"/>
        <v>967.7</v>
      </c>
      <c r="U210" s="142">
        <v>520.9</v>
      </c>
      <c r="V210" s="142">
        <f t="shared" si="7"/>
        <v>446.80000000000007</v>
      </c>
      <c r="W210" s="144" t="s">
        <v>218</v>
      </c>
      <c r="X210" s="145" t="s">
        <v>218</v>
      </c>
      <c r="Y210" s="116" t="s">
        <v>219</v>
      </c>
      <c r="Z210" s="145" t="s">
        <v>218</v>
      </c>
      <c r="AA210" s="116" t="s">
        <v>218</v>
      </c>
      <c r="AB210" s="145" t="str">
        <f t="shared" si="8"/>
        <v>да</v>
      </c>
      <c r="AC210" s="116" t="s">
        <v>218</v>
      </c>
      <c r="AD210" s="116" t="s">
        <v>218</v>
      </c>
      <c r="AE210" s="116" t="s">
        <v>219</v>
      </c>
      <c r="AF210" s="145">
        <v>0</v>
      </c>
      <c r="AG210" s="116">
        <v>1</v>
      </c>
      <c r="AH210" s="132">
        <v>0</v>
      </c>
      <c r="AI210" s="116">
        <v>0</v>
      </c>
      <c r="AJ210" s="116">
        <f>'[1]ТЭ (прил. 2.1)'!AY213</f>
        <v>0</v>
      </c>
      <c r="AK210" s="116">
        <v>0</v>
      </c>
      <c r="AL210" s="81"/>
    </row>
    <row r="211" spans="1:38" s="83" customFormat="1" ht="32.25" customHeight="1" x14ac:dyDescent="0.3">
      <c r="A211" s="80">
        <v>204</v>
      </c>
      <c r="B211" s="87" t="s">
        <v>196</v>
      </c>
      <c r="C211" s="87" t="s">
        <v>388</v>
      </c>
      <c r="D211" s="138" t="s">
        <v>430</v>
      </c>
      <c r="E211" s="116">
        <v>40</v>
      </c>
      <c r="F211" s="116" t="s">
        <v>245</v>
      </c>
      <c r="G211" s="116"/>
      <c r="H211" s="84" t="s">
        <v>782</v>
      </c>
      <c r="I211" s="166" t="s">
        <v>376</v>
      </c>
      <c r="J211" s="23"/>
      <c r="K211" s="146" t="s">
        <v>303</v>
      </c>
      <c r="L211" s="166" t="s">
        <v>431</v>
      </c>
      <c r="M211" s="116">
        <v>1911</v>
      </c>
      <c r="N211" s="141" t="s">
        <v>377</v>
      </c>
      <c r="O211" s="116">
        <v>2</v>
      </c>
      <c r="P211" s="116">
        <v>0</v>
      </c>
      <c r="Q211" s="116">
        <v>1</v>
      </c>
      <c r="R211" s="116">
        <v>8</v>
      </c>
      <c r="S211" s="142">
        <v>788.3</v>
      </c>
      <c r="T211" s="143">
        <f t="shared" si="6"/>
        <v>788.3</v>
      </c>
      <c r="U211" s="142">
        <v>373.6</v>
      </c>
      <c r="V211" s="142">
        <f t="shared" si="7"/>
        <v>414.69999999999993</v>
      </c>
      <c r="W211" s="144" t="s">
        <v>218</v>
      </c>
      <c r="X211" s="145" t="s">
        <v>218</v>
      </c>
      <c r="Y211" s="116" t="s">
        <v>219</v>
      </c>
      <c r="Z211" s="145" t="s">
        <v>218</v>
      </c>
      <c r="AA211" s="116" t="s">
        <v>218</v>
      </c>
      <c r="AB211" s="145" t="str">
        <f t="shared" si="8"/>
        <v>да</v>
      </c>
      <c r="AC211" s="116" t="s">
        <v>218</v>
      </c>
      <c r="AD211" s="116" t="s">
        <v>218</v>
      </c>
      <c r="AE211" s="116" t="s">
        <v>219</v>
      </c>
      <c r="AF211" s="145">
        <v>0</v>
      </c>
      <c r="AG211" s="116">
        <v>1</v>
      </c>
      <c r="AH211" s="132">
        <v>0</v>
      </c>
      <c r="AI211" s="116">
        <v>0</v>
      </c>
      <c r="AJ211" s="116">
        <f>'[1]ТЭ (прил. 2.1)'!AY214</f>
        <v>0</v>
      </c>
      <c r="AK211" s="116">
        <v>0</v>
      </c>
      <c r="AL211" s="81"/>
    </row>
    <row r="212" spans="1:38" s="83" customFormat="1" ht="32.25" customHeight="1" x14ac:dyDescent="0.3">
      <c r="A212" s="114">
        <v>205</v>
      </c>
      <c r="B212" s="87" t="s">
        <v>196</v>
      </c>
      <c r="C212" s="87" t="s">
        <v>388</v>
      </c>
      <c r="D212" s="138" t="s">
        <v>430</v>
      </c>
      <c r="E212" s="116">
        <v>46</v>
      </c>
      <c r="F212" s="116" t="s">
        <v>245</v>
      </c>
      <c r="G212" s="116"/>
      <c r="H212" s="84" t="s">
        <v>783</v>
      </c>
      <c r="I212" s="166" t="s">
        <v>376</v>
      </c>
      <c r="J212" s="23"/>
      <c r="K212" s="146" t="s">
        <v>303</v>
      </c>
      <c r="L212" s="166" t="s">
        <v>431</v>
      </c>
      <c r="M212" s="116">
        <v>1911</v>
      </c>
      <c r="N212" s="141" t="s">
        <v>377</v>
      </c>
      <c r="O212" s="116">
        <v>2</v>
      </c>
      <c r="P212" s="116">
        <v>0</v>
      </c>
      <c r="Q212" s="116">
        <v>1</v>
      </c>
      <c r="R212" s="116">
        <v>8</v>
      </c>
      <c r="S212" s="142">
        <v>587.29999999999995</v>
      </c>
      <c r="T212" s="143">
        <f t="shared" si="6"/>
        <v>587.29999999999995</v>
      </c>
      <c r="U212" s="142">
        <v>225.9</v>
      </c>
      <c r="V212" s="142">
        <f t="shared" si="7"/>
        <v>361.4</v>
      </c>
      <c r="W212" s="144" t="s">
        <v>218</v>
      </c>
      <c r="X212" s="145" t="s">
        <v>218</v>
      </c>
      <c r="Y212" s="116" t="s">
        <v>219</v>
      </c>
      <c r="Z212" s="145" t="s">
        <v>218</v>
      </c>
      <c r="AA212" s="116" t="s">
        <v>218</v>
      </c>
      <c r="AB212" s="145" t="str">
        <f t="shared" si="8"/>
        <v>да</v>
      </c>
      <c r="AC212" s="116" t="s">
        <v>218</v>
      </c>
      <c r="AD212" s="116" t="s">
        <v>218</v>
      </c>
      <c r="AE212" s="116" t="s">
        <v>219</v>
      </c>
      <c r="AF212" s="145">
        <v>0</v>
      </c>
      <c r="AG212" s="116">
        <v>1</v>
      </c>
      <c r="AH212" s="132">
        <v>0</v>
      </c>
      <c r="AI212" s="116">
        <v>0</v>
      </c>
      <c r="AJ212" s="116">
        <f>'[1]ТЭ (прил. 2.1)'!AY215</f>
        <v>0</v>
      </c>
      <c r="AK212" s="116">
        <v>0</v>
      </c>
      <c r="AL212" s="81"/>
    </row>
    <row r="213" spans="1:38" s="83" customFormat="1" ht="32.25" customHeight="1" x14ac:dyDescent="0.3">
      <c r="A213" s="5">
        <v>206</v>
      </c>
      <c r="B213" s="87" t="s">
        <v>196</v>
      </c>
      <c r="C213" s="87" t="s">
        <v>388</v>
      </c>
      <c r="D213" s="138" t="s">
        <v>430</v>
      </c>
      <c r="E213" s="116">
        <v>48</v>
      </c>
      <c r="F213" s="116" t="s">
        <v>245</v>
      </c>
      <c r="G213" s="116"/>
      <c r="H213" s="84" t="s">
        <v>784</v>
      </c>
      <c r="I213" s="166" t="s">
        <v>376</v>
      </c>
      <c r="J213" s="23"/>
      <c r="K213" s="146" t="s">
        <v>303</v>
      </c>
      <c r="L213" s="166" t="s">
        <v>431</v>
      </c>
      <c r="M213" s="116">
        <v>1911</v>
      </c>
      <c r="N213" s="141" t="s">
        <v>377</v>
      </c>
      <c r="O213" s="116">
        <v>2</v>
      </c>
      <c r="P213" s="116">
        <v>0</v>
      </c>
      <c r="Q213" s="116">
        <v>2</v>
      </c>
      <c r="R213" s="116">
        <v>16</v>
      </c>
      <c r="S213" s="142">
        <v>693.4</v>
      </c>
      <c r="T213" s="143">
        <f t="shared" si="6"/>
        <v>693.4</v>
      </c>
      <c r="U213" s="142">
        <v>430.2</v>
      </c>
      <c r="V213" s="142">
        <f t="shared" si="7"/>
        <v>263.2</v>
      </c>
      <c r="W213" s="144" t="s">
        <v>218</v>
      </c>
      <c r="X213" s="145" t="s">
        <v>218</v>
      </c>
      <c r="Y213" s="116" t="s">
        <v>219</v>
      </c>
      <c r="Z213" s="145" t="s">
        <v>218</v>
      </c>
      <c r="AA213" s="116" t="s">
        <v>218</v>
      </c>
      <c r="AB213" s="145" t="str">
        <f t="shared" si="8"/>
        <v>да</v>
      </c>
      <c r="AC213" s="116" t="s">
        <v>218</v>
      </c>
      <c r="AD213" s="116" t="s">
        <v>218</v>
      </c>
      <c r="AE213" s="116" t="s">
        <v>219</v>
      </c>
      <c r="AF213" s="145">
        <v>0</v>
      </c>
      <c r="AG213" s="116">
        <v>1</v>
      </c>
      <c r="AH213" s="132">
        <v>0</v>
      </c>
      <c r="AI213" s="116">
        <v>0</v>
      </c>
      <c r="AJ213" s="116">
        <f>'[1]ТЭ (прил. 2.1)'!AY216</f>
        <v>0</v>
      </c>
      <c r="AK213" s="116">
        <v>0</v>
      </c>
      <c r="AL213" s="81"/>
    </row>
    <row r="214" spans="1:38" s="83" customFormat="1" ht="32.25" customHeight="1" x14ac:dyDescent="0.3">
      <c r="A214" s="80">
        <v>207</v>
      </c>
      <c r="B214" s="87" t="s">
        <v>196</v>
      </c>
      <c r="C214" s="87" t="s">
        <v>388</v>
      </c>
      <c r="D214" s="138" t="s">
        <v>430</v>
      </c>
      <c r="E214" s="116">
        <v>52</v>
      </c>
      <c r="F214" s="116" t="s">
        <v>245</v>
      </c>
      <c r="G214" s="116"/>
      <c r="H214" s="84" t="s">
        <v>785</v>
      </c>
      <c r="I214" s="166" t="s">
        <v>376</v>
      </c>
      <c r="J214" s="23"/>
      <c r="K214" s="146" t="s">
        <v>303</v>
      </c>
      <c r="L214" s="166" t="s">
        <v>431</v>
      </c>
      <c r="M214" s="116">
        <v>1910</v>
      </c>
      <c r="N214" s="141" t="s">
        <v>377</v>
      </c>
      <c r="O214" s="116">
        <v>2</v>
      </c>
      <c r="P214" s="116">
        <v>0</v>
      </c>
      <c r="Q214" s="116">
        <v>1</v>
      </c>
      <c r="R214" s="116">
        <v>6</v>
      </c>
      <c r="S214" s="142">
        <v>1119.1099999999999</v>
      </c>
      <c r="T214" s="143">
        <f t="shared" si="6"/>
        <v>1119.1099999999999</v>
      </c>
      <c r="U214" s="142">
        <v>604.29999999999995</v>
      </c>
      <c r="V214" s="142">
        <f t="shared" si="7"/>
        <v>514.80999999999995</v>
      </c>
      <c r="W214" s="144" t="s">
        <v>218</v>
      </c>
      <c r="X214" s="145" t="s">
        <v>218</v>
      </c>
      <c r="Y214" s="116" t="s">
        <v>219</v>
      </c>
      <c r="Z214" s="145" t="s">
        <v>218</v>
      </c>
      <c r="AA214" s="116" t="s">
        <v>218</v>
      </c>
      <c r="AB214" s="145" t="str">
        <f t="shared" si="8"/>
        <v>да</v>
      </c>
      <c r="AC214" s="116" t="s">
        <v>218</v>
      </c>
      <c r="AD214" s="116" t="s">
        <v>218</v>
      </c>
      <c r="AE214" s="116" t="s">
        <v>219</v>
      </c>
      <c r="AF214" s="145">
        <v>0</v>
      </c>
      <c r="AG214" s="116">
        <v>1</v>
      </c>
      <c r="AH214" s="132">
        <v>0</v>
      </c>
      <c r="AI214" s="116">
        <v>0</v>
      </c>
      <c r="AJ214" s="116">
        <f>'[1]ТЭ (прил. 2.1)'!AY217</f>
        <v>0</v>
      </c>
      <c r="AK214" s="116">
        <v>0</v>
      </c>
      <c r="AL214" s="81"/>
    </row>
    <row r="215" spans="1:38" s="83" customFormat="1" ht="32.25" customHeight="1" x14ac:dyDescent="0.3">
      <c r="A215" s="114">
        <v>208</v>
      </c>
      <c r="B215" s="87" t="s">
        <v>196</v>
      </c>
      <c r="C215" s="87" t="s">
        <v>388</v>
      </c>
      <c r="D215" s="138" t="s">
        <v>430</v>
      </c>
      <c r="E215" s="116">
        <v>54</v>
      </c>
      <c r="F215" s="116" t="s">
        <v>245</v>
      </c>
      <c r="G215" s="116"/>
      <c r="H215" s="84" t="s">
        <v>786</v>
      </c>
      <c r="I215" s="166" t="s">
        <v>376</v>
      </c>
      <c r="J215" s="23"/>
      <c r="K215" s="146" t="s">
        <v>303</v>
      </c>
      <c r="L215" s="166" t="s">
        <v>431</v>
      </c>
      <c r="M215" s="116">
        <v>1910</v>
      </c>
      <c r="N215" s="141" t="s">
        <v>432</v>
      </c>
      <c r="O215" s="116">
        <v>2</v>
      </c>
      <c r="P215" s="116">
        <v>0</v>
      </c>
      <c r="Q215" s="116">
        <v>2</v>
      </c>
      <c r="R215" s="116">
        <v>17</v>
      </c>
      <c r="S215" s="142">
        <v>750.9</v>
      </c>
      <c r="T215" s="143">
        <f t="shared" si="6"/>
        <v>750.9</v>
      </c>
      <c r="U215" s="142">
        <v>455.2</v>
      </c>
      <c r="V215" s="142">
        <f t="shared" si="7"/>
        <v>295.7</v>
      </c>
      <c r="W215" s="144" t="s">
        <v>218</v>
      </c>
      <c r="X215" s="145" t="s">
        <v>218</v>
      </c>
      <c r="Y215" s="116" t="s">
        <v>219</v>
      </c>
      <c r="Z215" s="145" t="s">
        <v>218</v>
      </c>
      <c r="AA215" s="116" t="s">
        <v>218</v>
      </c>
      <c r="AB215" s="145" t="str">
        <f t="shared" si="8"/>
        <v>да</v>
      </c>
      <c r="AC215" s="116" t="s">
        <v>218</v>
      </c>
      <c r="AD215" s="116" t="s">
        <v>218</v>
      </c>
      <c r="AE215" s="116" t="s">
        <v>219</v>
      </c>
      <c r="AF215" s="145">
        <v>0</v>
      </c>
      <c r="AG215" s="116">
        <v>1</v>
      </c>
      <c r="AH215" s="132">
        <v>0</v>
      </c>
      <c r="AI215" s="116">
        <v>0</v>
      </c>
      <c r="AJ215" s="116">
        <f>'[1]ТЭ (прил. 2.1)'!AY218</f>
        <v>0</v>
      </c>
      <c r="AK215" s="116">
        <v>0</v>
      </c>
      <c r="AL215" s="81"/>
    </row>
    <row r="216" spans="1:38" s="83" customFormat="1" ht="32.25" customHeight="1" x14ac:dyDescent="0.3">
      <c r="A216" s="5">
        <v>209</v>
      </c>
      <c r="B216" s="87" t="s">
        <v>196</v>
      </c>
      <c r="C216" s="87" t="s">
        <v>388</v>
      </c>
      <c r="D216" s="138" t="s">
        <v>430</v>
      </c>
      <c r="E216" s="116">
        <v>64</v>
      </c>
      <c r="F216" s="116" t="s">
        <v>245</v>
      </c>
      <c r="G216" s="116"/>
      <c r="H216" s="84" t="s">
        <v>787</v>
      </c>
      <c r="I216" s="166" t="s">
        <v>376</v>
      </c>
      <c r="J216" s="23"/>
      <c r="K216" s="146" t="s">
        <v>433</v>
      </c>
      <c r="L216" s="166" t="s">
        <v>431</v>
      </c>
      <c r="M216" s="116">
        <v>1929</v>
      </c>
      <c r="N216" s="141" t="s">
        <v>303</v>
      </c>
      <c r="O216" s="116">
        <v>2</v>
      </c>
      <c r="P216" s="116">
        <v>0</v>
      </c>
      <c r="Q216" s="116">
        <v>2</v>
      </c>
      <c r="R216" s="116">
        <v>8</v>
      </c>
      <c r="S216" s="142">
        <v>443.6</v>
      </c>
      <c r="T216" s="143">
        <f t="shared" si="6"/>
        <v>443.6</v>
      </c>
      <c r="U216" s="142">
        <v>241</v>
      </c>
      <c r="V216" s="142">
        <f t="shared" si="7"/>
        <v>202.60000000000002</v>
      </c>
      <c r="W216" s="144" t="s">
        <v>218</v>
      </c>
      <c r="X216" s="145" t="s">
        <v>218</v>
      </c>
      <c r="Y216" s="116" t="s">
        <v>219</v>
      </c>
      <c r="Z216" s="145" t="s">
        <v>218</v>
      </c>
      <c r="AA216" s="116" t="s">
        <v>218</v>
      </c>
      <c r="AB216" s="145" t="str">
        <f t="shared" si="8"/>
        <v>да</v>
      </c>
      <c r="AC216" s="116" t="s">
        <v>218</v>
      </c>
      <c r="AD216" s="116" t="s">
        <v>218</v>
      </c>
      <c r="AE216" s="116" t="s">
        <v>219</v>
      </c>
      <c r="AF216" s="145">
        <v>0</v>
      </c>
      <c r="AG216" s="116">
        <v>1</v>
      </c>
      <c r="AH216" s="132">
        <v>0</v>
      </c>
      <c r="AI216" s="116">
        <v>0</v>
      </c>
      <c r="AJ216" s="116">
        <f>'[1]ТЭ (прил. 2.1)'!AY219</f>
        <v>0</v>
      </c>
      <c r="AK216" s="116">
        <v>0</v>
      </c>
      <c r="AL216" s="81"/>
    </row>
    <row r="217" spans="1:38" s="83" customFormat="1" ht="32.25" customHeight="1" x14ac:dyDescent="0.3">
      <c r="A217" s="80">
        <v>210</v>
      </c>
      <c r="B217" s="87" t="s">
        <v>196</v>
      </c>
      <c r="C217" s="87" t="s">
        <v>388</v>
      </c>
      <c r="D217" s="138" t="s">
        <v>430</v>
      </c>
      <c r="E217" s="116">
        <v>66</v>
      </c>
      <c r="F217" s="116" t="s">
        <v>245</v>
      </c>
      <c r="G217" s="116"/>
      <c r="H217" s="84" t="s">
        <v>788</v>
      </c>
      <c r="I217" s="166" t="s">
        <v>376</v>
      </c>
      <c r="J217" s="23"/>
      <c r="K217" s="146" t="s">
        <v>433</v>
      </c>
      <c r="L217" s="166" t="s">
        <v>431</v>
      </c>
      <c r="M217" s="116">
        <v>1929</v>
      </c>
      <c r="N217" s="141" t="s">
        <v>303</v>
      </c>
      <c r="O217" s="116">
        <v>2</v>
      </c>
      <c r="P217" s="116">
        <v>0</v>
      </c>
      <c r="Q217" s="116">
        <v>2</v>
      </c>
      <c r="R217" s="116">
        <v>7</v>
      </c>
      <c r="S217" s="142">
        <v>396.8</v>
      </c>
      <c r="T217" s="143">
        <f t="shared" si="6"/>
        <v>396.8</v>
      </c>
      <c r="U217" s="142">
        <v>220.5</v>
      </c>
      <c r="V217" s="142">
        <f t="shared" si="7"/>
        <v>176.3</v>
      </c>
      <c r="W217" s="144" t="s">
        <v>218</v>
      </c>
      <c r="X217" s="145" t="s">
        <v>218</v>
      </c>
      <c r="Y217" s="116" t="s">
        <v>219</v>
      </c>
      <c r="Z217" s="145" t="s">
        <v>218</v>
      </c>
      <c r="AA217" s="116" t="s">
        <v>218</v>
      </c>
      <c r="AB217" s="145" t="str">
        <f t="shared" si="8"/>
        <v>да</v>
      </c>
      <c r="AC217" s="116" t="s">
        <v>218</v>
      </c>
      <c r="AD217" s="116" t="s">
        <v>218</v>
      </c>
      <c r="AE217" s="116" t="s">
        <v>219</v>
      </c>
      <c r="AF217" s="145">
        <v>0</v>
      </c>
      <c r="AG217" s="116">
        <v>1</v>
      </c>
      <c r="AH217" s="132">
        <v>0</v>
      </c>
      <c r="AI217" s="116">
        <v>0</v>
      </c>
      <c r="AJ217" s="116">
        <f>'[1]ТЭ (прил. 2.1)'!AY220</f>
        <v>0</v>
      </c>
      <c r="AK217" s="116">
        <v>0</v>
      </c>
      <c r="AL217" s="81"/>
    </row>
    <row r="218" spans="1:38" s="83" customFormat="1" ht="32.25" customHeight="1" x14ac:dyDescent="0.3">
      <c r="A218" s="114">
        <v>211</v>
      </c>
      <c r="B218" s="87" t="s">
        <v>196</v>
      </c>
      <c r="C218" s="87" t="s">
        <v>388</v>
      </c>
      <c r="D218" s="138" t="s">
        <v>430</v>
      </c>
      <c r="E218" s="116">
        <v>68</v>
      </c>
      <c r="F218" s="116" t="s">
        <v>245</v>
      </c>
      <c r="G218" s="116"/>
      <c r="H218" s="84" t="s">
        <v>789</v>
      </c>
      <c r="I218" s="166" t="s">
        <v>376</v>
      </c>
      <c r="J218" s="23"/>
      <c r="K218" s="146" t="s">
        <v>303</v>
      </c>
      <c r="L218" s="166" t="s">
        <v>431</v>
      </c>
      <c r="M218" s="116">
        <v>1931</v>
      </c>
      <c r="N218" s="141" t="s">
        <v>432</v>
      </c>
      <c r="O218" s="116">
        <v>3</v>
      </c>
      <c r="P218" s="116">
        <v>0</v>
      </c>
      <c r="Q218" s="116">
        <v>3</v>
      </c>
      <c r="R218" s="116">
        <v>19</v>
      </c>
      <c r="S218" s="142">
        <v>1187.24</v>
      </c>
      <c r="T218" s="143">
        <f t="shared" si="6"/>
        <v>1187.24</v>
      </c>
      <c r="U218" s="142">
        <v>831.2</v>
      </c>
      <c r="V218" s="142">
        <f t="shared" si="7"/>
        <v>356.03999999999996</v>
      </c>
      <c r="W218" s="144" t="s">
        <v>218</v>
      </c>
      <c r="X218" s="145" t="s">
        <v>218</v>
      </c>
      <c r="Y218" s="116" t="s">
        <v>219</v>
      </c>
      <c r="Z218" s="145" t="s">
        <v>218</v>
      </c>
      <c r="AA218" s="116" t="s">
        <v>218</v>
      </c>
      <c r="AB218" s="145" t="str">
        <f t="shared" si="8"/>
        <v>да</v>
      </c>
      <c r="AC218" s="116" t="s">
        <v>218</v>
      </c>
      <c r="AD218" s="116" t="s">
        <v>218</v>
      </c>
      <c r="AE218" s="116" t="s">
        <v>219</v>
      </c>
      <c r="AF218" s="145">
        <v>0</v>
      </c>
      <c r="AG218" s="116">
        <v>1</v>
      </c>
      <c r="AH218" s="132">
        <v>0</v>
      </c>
      <c r="AI218" s="116">
        <v>0</v>
      </c>
      <c r="AJ218" s="116">
        <f>'[1]ТЭ (прил. 2.1)'!AY221</f>
        <v>0</v>
      </c>
      <c r="AK218" s="116">
        <v>0</v>
      </c>
      <c r="AL218" s="81"/>
    </row>
    <row r="219" spans="1:38" s="83" customFormat="1" ht="32.25" customHeight="1" x14ac:dyDescent="0.3">
      <c r="A219" s="5">
        <v>212</v>
      </c>
      <c r="B219" s="87" t="s">
        <v>196</v>
      </c>
      <c r="C219" s="87" t="s">
        <v>388</v>
      </c>
      <c r="D219" s="138" t="s">
        <v>430</v>
      </c>
      <c r="E219" s="116">
        <v>70</v>
      </c>
      <c r="F219" s="116" t="s">
        <v>245</v>
      </c>
      <c r="G219" s="116"/>
      <c r="H219" s="84" t="s">
        <v>790</v>
      </c>
      <c r="I219" s="166" t="s">
        <v>376</v>
      </c>
      <c r="J219" s="23"/>
      <c r="K219" s="146" t="s">
        <v>303</v>
      </c>
      <c r="L219" s="166" t="s">
        <v>431</v>
      </c>
      <c r="M219" s="116">
        <v>1932</v>
      </c>
      <c r="N219" s="141" t="s">
        <v>432</v>
      </c>
      <c r="O219" s="116">
        <v>3</v>
      </c>
      <c r="P219" s="116">
        <v>0</v>
      </c>
      <c r="Q219" s="116">
        <v>3</v>
      </c>
      <c r="R219" s="116">
        <v>17</v>
      </c>
      <c r="S219" s="142">
        <v>1078.19</v>
      </c>
      <c r="T219" s="143">
        <f t="shared" si="6"/>
        <v>1078.19</v>
      </c>
      <c r="U219" s="142">
        <v>787.4</v>
      </c>
      <c r="V219" s="142">
        <f t="shared" si="7"/>
        <v>290.79000000000008</v>
      </c>
      <c r="W219" s="144" t="s">
        <v>218</v>
      </c>
      <c r="X219" s="145" t="s">
        <v>218</v>
      </c>
      <c r="Y219" s="116" t="s">
        <v>219</v>
      </c>
      <c r="Z219" s="145" t="s">
        <v>218</v>
      </c>
      <c r="AA219" s="116" t="s">
        <v>218</v>
      </c>
      <c r="AB219" s="145" t="str">
        <f t="shared" si="8"/>
        <v>да</v>
      </c>
      <c r="AC219" s="116" t="s">
        <v>218</v>
      </c>
      <c r="AD219" s="116" t="s">
        <v>218</v>
      </c>
      <c r="AE219" s="116" t="s">
        <v>219</v>
      </c>
      <c r="AF219" s="145">
        <v>0</v>
      </c>
      <c r="AG219" s="116">
        <v>1</v>
      </c>
      <c r="AH219" s="132">
        <v>0</v>
      </c>
      <c r="AI219" s="116">
        <v>0</v>
      </c>
      <c r="AJ219" s="116">
        <f>'[1]ТЭ (прил. 2.1)'!AY222</f>
        <v>0</v>
      </c>
      <c r="AK219" s="116">
        <v>0</v>
      </c>
      <c r="AL219" s="81"/>
    </row>
    <row r="220" spans="1:38" s="83" customFormat="1" ht="32.25" customHeight="1" x14ac:dyDescent="0.3">
      <c r="A220" s="80">
        <v>213</v>
      </c>
      <c r="B220" s="87" t="s">
        <v>196</v>
      </c>
      <c r="C220" s="87" t="s">
        <v>388</v>
      </c>
      <c r="D220" s="138" t="s">
        <v>430</v>
      </c>
      <c r="E220" s="116">
        <v>72</v>
      </c>
      <c r="F220" s="116" t="s">
        <v>245</v>
      </c>
      <c r="G220" s="116"/>
      <c r="H220" s="84" t="s">
        <v>791</v>
      </c>
      <c r="I220" s="166" t="s">
        <v>376</v>
      </c>
      <c r="J220" s="23"/>
      <c r="K220" s="146" t="s">
        <v>433</v>
      </c>
      <c r="L220" s="166" t="s">
        <v>431</v>
      </c>
      <c r="M220" s="116">
        <v>1931</v>
      </c>
      <c r="N220" s="141" t="s">
        <v>303</v>
      </c>
      <c r="O220" s="116">
        <v>2</v>
      </c>
      <c r="P220" s="116">
        <v>0</v>
      </c>
      <c r="Q220" s="116">
        <v>2</v>
      </c>
      <c r="R220" s="116">
        <v>7</v>
      </c>
      <c r="S220" s="142">
        <v>398.3</v>
      </c>
      <c r="T220" s="143">
        <f t="shared" si="6"/>
        <v>398.3</v>
      </c>
      <c r="U220" s="142">
        <v>230.3</v>
      </c>
      <c r="V220" s="142">
        <f t="shared" si="7"/>
        <v>168</v>
      </c>
      <c r="W220" s="144" t="s">
        <v>218</v>
      </c>
      <c r="X220" s="145" t="s">
        <v>218</v>
      </c>
      <c r="Y220" s="116" t="s">
        <v>219</v>
      </c>
      <c r="Z220" s="145" t="s">
        <v>218</v>
      </c>
      <c r="AA220" s="116" t="s">
        <v>218</v>
      </c>
      <c r="AB220" s="145" t="str">
        <f t="shared" si="8"/>
        <v>да</v>
      </c>
      <c r="AC220" s="116" t="s">
        <v>218</v>
      </c>
      <c r="AD220" s="116" t="s">
        <v>218</v>
      </c>
      <c r="AE220" s="116" t="s">
        <v>219</v>
      </c>
      <c r="AF220" s="145">
        <v>0</v>
      </c>
      <c r="AG220" s="116">
        <v>1</v>
      </c>
      <c r="AH220" s="132">
        <v>0</v>
      </c>
      <c r="AI220" s="116">
        <v>0</v>
      </c>
      <c r="AJ220" s="116">
        <f>'[1]ТЭ (прил. 2.1)'!AY223</f>
        <v>0</v>
      </c>
      <c r="AK220" s="116">
        <v>0</v>
      </c>
      <c r="AL220" s="81"/>
    </row>
    <row r="221" spans="1:38" s="83" customFormat="1" ht="32.25" customHeight="1" x14ac:dyDescent="0.3">
      <c r="A221" s="114">
        <v>214</v>
      </c>
      <c r="B221" s="87" t="s">
        <v>196</v>
      </c>
      <c r="C221" s="87" t="s">
        <v>388</v>
      </c>
      <c r="D221" s="138" t="s">
        <v>430</v>
      </c>
      <c r="E221" s="116">
        <v>74</v>
      </c>
      <c r="F221" s="116" t="s">
        <v>245</v>
      </c>
      <c r="G221" s="116"/>
      <c r="H221" s="84" t="s">
        <v>792</v>
      </c>
      <c r="I221" s="166" t="s">
        <v>376</v>
      </c>
      <c r="J221" s="23"/>
      <c r="K221" s="146" t="s">
        <v>433</v>
      </c>
      <c r="L221" s="166" t="s">
        <v>431</v>
      </c>
      <c r="M221" s="116">
        <v>1929</v>
      </c>
      <c r="N221" s="141" t="s">
        <v>303</v>
      </c>
      <c r="O221" s="116">
        <v>2</v>
      </c>
      <c r="P221" s="116">
        <v>0</v>
      </c>
      <c r="Q221" s="116">
        <v>2</v>
      </c>
      <c r="R221" s="116">
        <v>8</v>
      </c>
      <c r="S221" s="142">
        <v>396.1</v>
      </c>
      <c r="T221" s="143">
        <f t="shared" si="6"/>
        <v>396.1</v>
      </c>
      <c r="U221" s="142">
        <v>230.4</v>
      </c>
      <c r="V221" s="142">
        <f t="shared" si="7"/>
        <v>165.70000000000002</v>
      </c>
      <c r="W221" s="144" t="s">
        <v>218</v>
      </c>
      <c r="X221" s="145" t="s">
        <v>218</v>
      </c>
      <c r="Y221" s="116" t="s">
        <v>219</v>
      </c>
      <c r="Z221" s="145" t="s">
        <v>218</v>
      </c>
      <c r="AA221" s="116" t="s">
        <v>218</v>
      </c>
      <c r="AB221" s="145" t="str">
        <f t="shared" si="8"/>
        <v>да</v>
      </c>
      <c r="AC221" s="116" t="s">
        <v>218</v>
      </c>
      <c r="AD221" s="116" t="s">
        <v>218</v>
      </c>
      <c r="AE221" s="116" t="s">
        <v>219</v>
      </c>
      <c r="AF221" s="145">
        <v>0</v>
      </c>
      <c r="AG221" s="116">
        <v>1</v>
      </c>
      <c r="AH221" s="132">
        <v>0</v>
      </c>
      <c r="AI221" s="116">
        <v>0</v>
      </c>
      <c r="AJ221" s="116">
        <f>'[1]ТЭ (прил. 2.1)'!AY224</f>
        <v>0</v>
      </c>
      <c r="AK221" s="116">
        <v>0</v>
      </c>
      <c r="AL221" s="81"/>
    </row>
    <row r="222" spans="1:38" s="83" customFormat="1" ht="32.25" customHeight="1" x14ac:dyDescent="0.3">
      <c r="A222" s="5">
        <v>215</v>
      </c>
      <c r="B222" s="87" t="s">
        <v>196</v>
      </c>
      <c r="C222" s="87" t="s">
        <v>388</v>
      </c>
      <c r="D222" s="138" t="s">
        <v>430</v>
      </c>
      <c r="E222" s="116">
        <v>76</v>
      </c>
      <c r="F222" s="116" t="s">
        <v>245</v>
      </c>
      <c r="G222" s="116"/>
      <c r="H222" s="84" t="s">
        <v>793</v>
      </c>
      <c r="I222" s="166" t="s">
        <v>376</v>
      </c>
      <c r="J222" s="23"/>
      <c r="K222" s="146" t="s">
        <v>303</v>
      </c>
      <c r="L222" s="166" t="s">
        <v>431</v>
      </c>
      <c r="M222" s="116">
        <v>1959</v>
      </c>
      <c r="N222" s="141" t="s">
        <v>432</v>
      </c>
      <c r="O222" s="116">
        <v>2</v>
      </c>
      <c r="P222" s="116">
        <v>0</v>
      </c>
      <c r="Q222" s="116">
        <v>2</v>
      </c>
      <c r="R222" s="116">
        <v>8</v>
      </c>
      <c r="S222" s="142">
        <v>483.7</v>
      </c>
      <c r="T222" s="143">
        <f t="shared" si="6"/>
        <v>483.7</v>
      </c>
      <c r="U222" s="142">
        <v>288.60000000000002</v>
      </c>
      <c r="V222" s="142">
        <f t="shared" si="7"/>
        <v>195.09999999999997</v>
      </c>
      <c r="W222" s="144" t="s">
        <v>218</v>
      </c>
      <c r="X222" s="145" t="s">
        <v>218</v>
      </c>
      <c r="Y222" s="116" t="s">
        <v>219</v>
      </c>
      <c r="Z222" s="145" t="s">
        <v>218</v>
      </c>
      <c r="AA222" s="116" t="s">
        <v>218</v>
      </c>
      <c r="AB222" s="145" t="str">
        <f t="shared" si="8"/>
        <v>да</v>
      </c>
      <c r="AC222" s="116" t="s">
        <v>218</v>
      </c>
      <c r="AD222" s="116" t="s">
        <v>218</v>
      </c>
      <c r="AE222" s="116" t="s">
        <v>219</v>
      </c>
      <c r="AF222" s="145">
        <v>0</v>
      </c>
      <c r="AG222" s="116">
        <v>1</v>
      </c>
      <c r="AH222" s="132">
        <v>0</v>
      </c>
      <c r="AI222" s="116">
        <v>0</v>
      </c>
      <c r="AJ222" s="116">
        <f>'[1]ТЭ (прил. 2.1)'!AY225</f>
        <v>0</v>
      </c>
      <c r="AK222" s="116">
        <v>0</v>
      </c>
      <c r="AL222" s="81"/>
    </row>
    <row r="223" spans="1:38" s="83" customFormat="1" ht="32.25" customHeight="1" x14ac:dyDescent="0.3">
      <c r="A223" s="80">
        <v>216</v>
      </c>
      <c r="B223" s="87" t="s">
        <v>196</v>
      </c>
      <c r="C223" s="87" t="s">
        <v>388</v>
      </c>
      <c r="D223" s="138" t="s">
        <v>430</v>
      </c>
      <c r="E223" s="116">
        <v>78</v>
      </c>
      <c r="F223" s="116" t="s">
        <v>245</v>
      </c>
      <c r="G223" s="116"/>
      <c r="H223" s="84" t="s">
        <v>794</v>
      </c>
      <c r="I223" s="166" t="s">
        <v>376</v>
      </c>
      <c r="J223" s="23"/>
      <c r="K223" s="146" t="s">
        <v>303</v>
      </c>
      <c r="L223" s="166" t="s">
        <v>431</v>
      </c>
      <c r="M223" s="116">
        <v>1956</v>
      </c>
      <c r="N223" s="141" t="s">
        <v>432</v>
      </c>
      <c r="O223" s="116">
        <v>2</v>
      </c>
      <c r="P223" s="116">
        <v>0</v>
      </c>
      <c r="Q223" s="116">
        <v>2</v>
      </c>
      <c r="R223" s="116">
        <v>12</v>
      </c>
      <c r="S223" s="142">
        <v>518.6</v>
      </c>
      <c r="T223" s="143">
        <f t="shared" si="6"/>
        <v>518.6</v>
      </c>
      <c r="U223" s="142">
        <v>298.39999999999998</v>
      </c>
      <c r="V223" s="142">
        <f t="shared" si="7"/>
        <v>220.20000000000005</v>
      </c>
      <c r="W223" s="144" t="s">
        <v>218</v>
      </c>
      <c r="X223" s="145" t="s">
        <v>218</v>
      </c>
      <c r="Y223" s="116" t="s">
        <v>219</v>
      </c>
      <c r="Z223" s="145" t="s">
        <v>218</v>
      </c>
      <c r="AA223" s="116" t="s">
        <v>218</v>
      </c>
      <c r="AB223" s="145" t="str">
        <f t="shared" si="8"/>
        <v>да</v>
      </c>
      <c r="AC223" s="116" t="s">
        <v>218</v>
      </c>
      <c r="AD223" s="116" t="s">
        <v>218</v>
      </c>
      <c r="AE223" s="116" t="s">
        <v>219</v>
      </c>
      <c r="AF223" s="145">
        <v>0</v>
      </c>
      <c r="AG223" s="116">
        <v>1</v>
      </c>
      <c r="AH223" s="132">
        <v>0</v>
      </c>
      <c r="AI223" s="116">
        <v>0</v>
      </c>
      <c r="AJ223" s="116">
        <f>'[1]ТЭ (прил. 2.1)'!AY226</f>
        <v>0</v>
      </c>
      <c r="AK223" s="116">
        <v>0</v>
      </c>
      <c r="AL223" s="81"/>
    </row>
    <row r="224" spans="1:38" s="83" customFormat="1" ht="32.25" customHeight="1" x14ac:dyDescent="0.3">
      <c r="A224" s="114">
        <v>217</v>
      </c>
      <c r="B224" s="87" t="s">
        <v>196</v>
      </c>
      <c r="C224" s="87" t="s">
        <v>388</v>
      </c>
      <c r="D224" s="138" t="s">
        <v>430</v>
      </c>
      <c r="E224" s="116">
        <v>84</v>
      </c>
      <c r="F224" s="116" t="s">
        <v>245</v>
      </c>
      <c r="G224" s="116"/>
      <c r="H224" s="84" t="s">
        <v>795</v>
      </c>
      <c r="I224" s="166" t="s">
        <v>376</v>
      </c>
      <c r="J224" s="23"/>
      <c r="K224" s="146" t="s">
        <v>303</v>
      </c>
      <c r="L224" s="166" t="s">
        <v>431</v>
      </c>
      <c r="M224" s="116">
        <v>1932</v>
      </c>
      <c r="N224" s="141" t="s">
        <v>377</v>
      </c>
      <c r="O224" s="116">
        <v>4</v>
      </c>
      <c r="P224" s="116">
        <v>0</v>
      </c>
      <c r="Q224" s="116">
        <v>4</v>
      </c>
      <c r="R224" s="116">
        <v>35</v>
      </c>
      <c r="S224" s="142">
        <v>2119.54</v>
      </c>
      <c r="T224" s="143">
        <f t="shared" si="6"/>
        <v>2119.54</v>
      </c>
      <c r="U224" s="142">
        <v>1471.26</v>
      </c>
      <c r="V224" s="142">
        <f t="shared" si="7"/>
        <v>648.28</v>
      </c>
      <c r="W224" s="144" t="s">
        <v>218</v>
      </c>
      <c r="X224" s="145" t="s">
        <v>218</v>
      </c>
      <c r="Y224" s="116" t="s">
        <v>219</v>
      </c>
      <c r="Z224" s="145" t="s">
        <v>218</v>
      </c>
      <c r="AA224" s="116" t="s">
        <v>218</v>
      </c>
      <c r="AB224" s="145" t="str">
        <f t="shared" si="8"/>
        <v>да</v>
      </c>
      <c r="AC224" s="116" t="s">
        <v>218</v>
      </c>
      <c r="AD224" s="116" t="s">
        <v>218</v>
      </c>
      <c r="AE224" s="116" t="s">
        <v>219</v>
      </c>
      <c r="AF224" s="145">
        <v>0</v>
      </c>
      <c r="AG224" s="116">
        <v>1</v>
      </c>
      <c r="AH224" s="132">
        <v>0</v>
      </c>
      <c r="AI224" s="116">
        <v>0</v>
      </c>
      <c r="AJ224" s="116">
        <f>'[1]ТЭ (прил. 2.1)'!AY227</f>
        <v>0</v>
      </c>
      <c r="AK224" s="116">
        <v>0</v>
      </c>
      <c r="AL224" s="81"/>
    </row>
    <row r="225" spans="1:40" s="83" customFormat="1" ht="32.25" customHeight="1" x14ac:dyDescent="0.3">
      <c r="A225" s="5">
        <v>218</v>
      </c>
      <c r="B225" s="87" t="s">
        <v>196</v>
      </c>
      <c r="C225" s="87" t="s">
        <v>388</v>
      </c>
      <c r="D225" s="138" t="s">
        <v>434</v>
      </c>
      <c r="E225" s="116">
        <v>64</v>
      </c>
      <c r="F225" s="116" t="s">
        <v>245</v>
      </c>
      <c r="G225" s="116"/>
      <c r="H225" s="84" t="s">
        <v>796</v>
      </c>
      <c r="I225" s="166" t="s">
        <v>376</v>
      </c>
      <c r="J225" s="23"/>
      <c r="K225" s="140" t="s">
        <v>372</v>
      </c>
      <c r="L225" s="166" t="s">
        <v>319</v>
      </c>
      <c r="M225" s="116">
        <v>1960</v>
      </c>
      <c r="N225" s="141" t="s">
        <v>377</v>
      </c>
      <c r="O225" s="116">
        <v>5</v>
      </c>
      <c r="P225" s="116">
        <v>0</v>
      </c>
      <c r="Q225" s="116">
        <v>3</v>
      </c>
      <c r="R225" s="116">
        <v>60</v>
      </c>
      <c r="S225" s="142">
        <v>2753.3</v>
      </c>
      <c r="T225" s="143">
        <f t="shared" si="6"/>
        <v>2753.3</v>
      </c>
      <c r="U225" s="142">
        <v>1504.2</v>
      </c>
      <c r="V225" s="142">
        <f t="shared" si="7"/>
        <v>1249.1000000000001</v>
      </c>
      <c r="W225" s="144" t="s">
        <v>218</v>
      </c>
      <c r="X225" s="145" t="s">
        <v>218</v>
      </c>
      <c r="Y225" s="116" t="s">
        <v>218</v>
      </c>
      <c r="Z225" s="145" t="s">
        <v>218</v>
      </c>
      <c r="AA225" s="116" t="s">
        <v>218</v>
      </c>
      <c r="AB225" s="145" t="str">
        <f t="shared" si="8"/>
        <v>да</v>
      </c>
      <c r="AC225" s="116" t="s">
        <v>219</v>
      </c>
      <c r="AD225" s="116" t="s">
        <v>218</v>
      </c>
      <c r="AE225" s="116" t="s">
        <v>219</v>
      </c>
      <c r="AF225" s="145">
        <v>0</v>
      </c>
      <c r="AG225" s="116">
        <v>1</v>
      </c>
      <c r="AH225" s="132">
        <v>1</v>
      </c>
      <c r="AI225" s="116">
        <v>1</v>
      </c>
      <c r="AJ225" s="116">
        <f>'[1]ТЭ (прил. 2.1)'!AY228</f>
        <v>0</v>
      </c>
      <c r="AK225" s="116">
        <v>0</v>
      </c>
      <c r="AL225" s="81"/>
    </row>
    <row r="226" spans="1:40" s="83" customFormat="1" ht="32.25" customHeight="1" x14ac:dyDescent="0.3">
      <c r="A226" s="80">
        <v>219</v>
      </c>
      <c r="B226" s="87" t="s">
        <v>196</v>
      </c>
      <c r="C226" s="87" t="s">
        <v>388</v>
      </c>
      <c r="D226" s="138" t="s">
        <v>434</v>
      </c>
      <c r="E226" s="116">
        <v>76</v>
      </c>
      <c r="F226" s="116" t="s">
        <v>245</v>
      </c>
      <c r="G226" s="116"/>
      <c r="H226" s="84" t="s">
        <v>797</v>
      </c>
      <c r="I226" s="166" t="s">
        <v>376</v>
      </c>
      <c r="J226" s="23" t="s">
        <v>308</v>
      </c>
      <c r="K226" s="146"/>
      <c r="L226" s="166"/>
      <c r="M226" s="116"/>
      <c r="N226" s="141"/>
      <c r="O226" s="116"/>
      <c r="P226" s="116"/>
      <c r="Q226" s="116"/>
      <c r="R226" s="116"/>
      <c r="S226" s="142"/>
      <c r="T226" s="143"/>
      <c r="U226" s="142"/>
      <c r="V226" s="142"/>
      <c r="W226" s="144"/>
      <c r="X226" s="145"/>
      <c r="Y226" s="116"/>
      <c r="Z226" s="145"/>
      <c r="AA226" s="116"/>
      <c r="AB226" s="145"/>
      <c r="AC226" s="116"/>
      <c r="AD226" s="116"/>
      <c r="AE226" s="116"/>
      <c r="AF226" s="145"/>
      <c r="AG226" s="116"/>
      <c r="AH226" s="132"/>
      <c r="AI226" s="116"/>
      <c r="AJ226" s="116"/>
      <c r="AK226" s="116"/>
      <c r="AL226" s="81"/>
    </row>
    <row r="227" spans="1:40" ht="32.25" customHeight="1" x14ac:dyDescent="0.3">
      <c r="A227" s="5">
        <v>220</v>
      </c>
      <c r="B227" s="87" t="s">
        <v>196</v>
      </c>
      <c r="C227" s="11" t="s">
        <v>798</v>
      </c>
      <c r="D227" s="11" t="s">
        <v>799</v>
      </c>
      <c r="E227" s="122">
        <v>27</v>
      </c>
      <c r="F227" s="122">
        <v>1</v>
      </c>
      <c r="G227" s="4" t="s">
        <v>800</v>
      </c>
      <c r="H227" s="84" t="s">
        <v>802</v>
      </c>
      <c r="I227" s="11" t="s">
        <v>247</v>
      </c>
      <c r="J227" s="4" t="s">
        <v>801</v>
      </c>
      <c r="K227" s="11" t="s">
        <v>216</v>
      </c>
      <c r="L227" s="11" t="s">
        <v>313</v>
      </c>
      <c r="M227" s="4">
        <v>1969</v>
      </c>
      <c r="N227" s="4" t="s">
        <v>316</v>
      </c>
      <c r="O227" s="4">
        <v>9</v>
      </c>
      <c r="P227" s="4">
        <v>0</v>
      </c>
      <c r="Q227" s="4">
        <v>6</v>
      </c>
      <c r="R227" s="4">
        <v>216</v>
      </c>
      <c r="S227" s="4">
        <v>11232.63</v>
      </c>
      <c r="T227" s="163">
        <v>11186.65</v>
      </c>
      <c r="U227" s="4">
        <v>7382.56</v>
      </c>
      <c r="V227" s="71">
        <v>47.68</v>
      </c>
      <c r="W227" s="71" t="s">
        <v>218</v>
      </c>
      <c r="X227" s="31" t="s">
        <v>218</v>
      </c>
      <c r="Y227" s="4" t="s">
        <v>218</v>
      </c>
      <c r="Z227" s="31" t="s">
        <v>218</v>
      </c>
      <c r="AA227" s="4" t="s">
        <v>218</v>
      </c>
      <c r="AB227" s="31" t="s">
        <v>218</v>
      </c>
      <c r="AC227" s="4" t="s">
        <v>219</v>
      </c>
      <c r="AD227" s="4" t="s">
        <v>218</v>
      </c>
      <c r="AE227" s="4" t="s">
        <v>219</v>
      </c>
      <c r="AF227" s="31">
        <v>6</v>
      </c>
      <c r="AG227" s="4">
        <v>1</v>
      </c>
      <c r="AH227" s="4">
        <v>2</v>
      </c>
      <c r="AI227" s="4">
        <v>1</v>
      </c>
      <c r="AJ227" s="4">
        <v>1</v>
      </c>
      <c r="AK227" s="4">
        <v>0</v>
      </c>
      <c r="AL227" s="4"/>
    </row>
    <row r="228" spans="1:40" s="165" customFormat="1" ht="32.25" customHeight="1" x14ac:dyDescent="0.3">
      <c r="A228" s="80">
        <v>221</v>
      </c>
      <c r="B228" s="87" t="s">
        <v>196</v>
      </c>
      <c r="C228" s="11"/>
      <c r="D228" s="114" t="s">
        <v>813</v>
      </c>
      <c r="E228" s="114">
        <v>108</v>
      </c>
      <c r="F228" s="114">
        <v>2</v>
      </c>
      <c r="G228" s="4" t="s">
        <v>800</v>
      </c>
      <c r="H228" s="84" t="s">
        <v>803</v>
      </c>
      <c r="I228" s="114" t="s">
        <v>247</v>
      </c>
      <c r="J228" s="114"/>
      <c r="K228" s="114" t="s">
        <v>431</v>
      </c>
      <c r="L228" s="114" t="s">
        <v>814</v>
      </c>
      <c r="M228" s="114">
        <v>1987</v>
      </c>
      <c r="N228" s="114" t="s">
        <v>815</v>
      </c>
      <c r="O228" s="114">
        <v>16</v>
      </c>
      <c r="P228" s="114">
        <v>0</v>
      </c>
      <c r="Q228" s="114">
        <v>1</v>
      </c>
      <c r="R228" s="114">
        <v>110</v>
      </c>
      <c r="S228" s="114">
        <v>5927</v>
      </c>
      <c r="T228" s="114">
        <v>5927</v>
      </c>
      <c r="U228" s="114">
        <v>3033</v>
      </c>
      <c r="V228" s="114" t="s">
        <v>816</v>
      </c>
      <c r="W228" s="114" t="s">
        <v>218</v>
      </c>
      <c r="X228" s="114" t="s">
        <v>218</v>
      </c>
      <c r="Y228" s="114" t="s">
        <v>218</v>
      </c>
      <c r="Z228" s="114" t="s">
        <v>218</v>
      </c>
      <c r="AA228" s="114" t="s">
        <v>218</v>
      </c>
      <c r="AB228" s="114" t="s">
        <v>219</v>
      </c>
      <c r="AC228" s="114" t="s">
        <v>219</v>
      </c>
      <c r="AD228" s="114" t="s">
        <v>219</v>
      </c>
      <c r="AE228" s="114" t="s">
        <v>218</v>
      </c>
      <c r="AF228" s="114">
        <v>2</v>
      </c>
      <c r="AG228" s="114">
        <v>3</v>
      </c>
      <c r="AH228" s="114">
        <v>4</v>
      </c>
      <c r="AI228" s="114">
        <v>1</v>
      </c>
      <c r="AJ228" s="114">
        <v>1</v>
      </c>
      <c r="AK228" s="114">
        <v>0</v>
      </c>
      <c r="AL228" s="114"/>
      <c r="AN228" s="165" t="s">
        <v>817</v>
      </c>
    </row>
    <row r="229" spans="1:40" s="83" customFormat="1" ht="32.25" customHeight="1" x14ac:dyDescent="0.3">
      <c r="A229" s="5">
        <v>222</v>
      </c>
      <c r="B229" s="84" t="s">
        <v>196</v>
      </c>
      <c r="C229" s="87" t="s">
        <v>388</v>
      </c>
      <c r="D229" s="240" t="s">
        <v>826</v>
      </c>
      <c r="E229" s="239">
        <v>60</v>
      </c>
      <c r="F229" s="239"/>
      <c r="G229" s="239"/>
      <c r="H229" s="84" t="s">
        <v>836</v>
      </c>
      <c r="I229" s="239" t="s">
        <v>247</v>
      </c>
      <c r="J229" s="239"/>
      <c r="K229" s="239"/>
      <c r="L229" s="118" t="s">
        <v>827</v>
      </c>
      <c r="M229" s="239">
        <v>1967</v>
      </c>
      <c r="N229" s="118" t="s">
        <v>216</v>
      </c>
      <c r="O229" s="239">
        <v>9</v>
      </c>
      <c r="P229" s="239">
        <v>0</v>
      </c>
      <c r="Q229" s="239">
        <v>6</v>
      </c>
      <c r="R229" s="239">
        <v>216</v>
      </c>
      <c r="S229" s="239">
        <v>12572</v>
      </c>
      <c r="T229" s="241"/>
      <c r="U229" s="239">
        <v>11307</v>
      </c>
      <c r="V229" s="118">
        <v>1265</v>
      </c>
      <c r="W229" s="118" t="s">
        <v>218</v>
      </c>
      <c r="X229" s="239" t="s">
        <v>218</v>
      </c>
      <c r="Y229" s="239" t="s">
        <v>218</v>
      </c>
      <c r="Z229" s="239" t="s">
        <v>218</v>
      </c>
      <c r="AA229" s="239" t="s">
        <v>218</v>
      </c>
      <c r="AB229" s="239" t="s">
        <v>218</v>
      </c>
      <c r="AC229" s="239" t="s">
        <v>219</v>
      </c>
      <c r="AD229" s="239" t="s">
        <v>218</v>
      </c>
      <c r="AE229" s="239" t="s">
        <v>219</v>
      </c>
      <c r="AF229" s="239">
        <v>6</v>
      </c>
      <c r="AG229" s="239"/>
      <c r="AH229" s="239"/>
      <c r="AI229" s="239"/>
      <c r="AJ229" s="239"/>
      <c r="AK229" s="239"/>
      <c r="AL229" s="239"/>
    </row>
    <row r="230" spans="1:40" s="83" customFormat="1" ht="32.25" customHeight="1" x14ac:dyDescent="0.3">
      <c r="A230" s="80">
        <v>223</v>
      </c>
      <c r="B230" s="84" t="s">
        <v>196</v>
      </c>
      <c r="C230" s="87" t="s">
        <v>388</v>
      </c>
      <c r="D230" s="240" t="s">
        <v>826</v>
      </c>
      <c r="E230" s="239">
        <v>64</v>
      </c>
      <c r="F230" s="239"/>
      <c r="G230" s="239"/>
      <c r="H230" s="84" t="s">
        <v>837</v>
      </c>
      <c r="I230" s="239" t="s">
        <v>247</v>
      </c>
      <c r="J230" s="239"/>
      <c r="K230" s="239"/>
      <c r="L230" s="118"/>
      <c r="M230" s="239">
        <v>1969</v>
      </c>
      <c r="N230" s="118" t="s">
        <v>216</v>
      </c>
      <c r="O230" s="239">
        <v>9</v>
      </c>
      <c r="P230" s="239">
        <v>0</v>
      </c>
      <c r="Q230" s="239">
        <v>7</v>
      </c>
      <c r="R230" s="239">
        <v>251</v>
      </c>
      <c r="S230" s="239">
        <v>13318</v>
      </c>
      <c r="T230" s="239"/>
      <c r="U230" s="239">
        <v>13305</v>
      </c>
      <c r="V230" s="239">
        <v>13</v>
      </c>
      <c r="W230" s="118" t="s">
        <v>218</v>
      </c>
      <c r="X230" s="239" t="s">
        <v>218</v>
      </c>
      <c r="Y230" s="239" t="s">
        <v>218</v>
      </c>
      <c r="Z230" s="239" t="s">
        <v>218</v>
      </c>
      <c r="AA230" s="239" t="s">
        <v>218</v>
      </c>
      <c r="AB230" s="242" t="s">
        <v>218</v>
      </c>
      <c r="AC230" s="239" t="s">
        <v>219</v>
      </c>
      <c r="AD230" s="239" t="s">
        <v>218</v>
      </c>
      <c r="AE230" s="239" t="s">
        <v>219</v>
      </c>
      <c r="AF230" s="239">
        <v>7</v>
      </c>
      <c r="AG230" s="239"/>
      <c r="AH230" s="239"/>
      <c r="AI230" s="239"/>
      <c r="AJ230" s="239"/>
      <c r="AK230" s="239"/>
      <c r="AL230" s="239"/>
    </row>
    <row r="231" spans="1:40" s="83" customFormat="1" ht="32.25" customHeight="1" x14ac:dyDescent="0.3">
      <c r="A231" s="5">
        <v>224</v>
      </c>
      <c r="B231" s="84" t="s">
        <v>196</v>
      </c>
      <c r="C231" s="87" t="s">
        <v>388</v>
      </c>
      <c r="D231" s="240" t="s">
        <v>828</v>
      </c>
      <c r="E231" s="239">
        <v>20</v>
      </c>
      <c r="F231" s="239">
        <v>1</v>
      </c>
      <c r="G231" s="239"/>
      <c r="H231" s="84" t="s">
        <v>838</v>
      </c>
      <c r="I231" s="239" t="s">
        <v>247</v>
      </c>
      <c r="J231" s="239"/>
      <c r="K231" s="239"/>
      <c r="L231" s="118" t="s">
        <v>829</v>
      </c>
      <c r="M231" s="239">
        <v>1967</v>
      </c>
      <c r="N231" s="118" t="s">
        <v>216</v>
      </c>
      <c r="O231" s="239">
        <v>9</v>
      </c>
      <c r="P231" s="239">
        <v>0</v>
      </c>
      <c r="Q231" s="239">
        <v>6</v>
      </c>
      <c r="R231" s="239">
        <v>216</v>
      </c>
      <c r="S231" s="239">
        <v>11270</v>
      </c>
      <c r="T231" s="239"/>
      <c r="U231" s="239">
        <v>10010</v>
      </c>
      <c r="V231" s="239">
        <v>1260</v>
      </c>
      <c r="W231" s="118" t="s">
        <v>218</v>
      </c>
      <c r="X231" s="239" t="s">
        <v>218</v>
      </c>
      <c r="Y231" s="239" t="s">
        <v>218</v>
      </c>
      <c r="Z231" s="239" t="s">
        <v>218</v>
      </c>
      <c r="AA231" s="243" t="s">
        <v>218</v>
      </c>
      <c r="AB231" s="244" t="s">
        <v>218</v>
      </c>
      <c r="AC231" s="239" t="s">
        <v>219</v>
      </c>
      <c r="AD231" s="239" t="s">
        <v>218</v>
      </c>
      <c r="AE231" s="239" t="s">
        <v>219</v>
      </c>
      <c r="AF231" s="239">
        <v>6</v>
      </c>
      <c r="AG231" s="239"/>
      <c r="AH231" s="239"/>
      <c r="AI231" s="239"/>
      <c r="AJ231" s="239"/>
      <c r="AK231" s="239"/>
      <c r="AL231" s="239"/>
    </row>
    <row r="232" spans="1:40" s="83" customFormat="1" ht="32.25" customHeight="1" x14ac:dyDescent="0.3">
      <c r="A232" s="80">
        <v>225</v>
      </c>
      <c r="B232" s="84" t="s">
        <v>196</v>
      </c>
      <c r="C232" s="87" t="s">
        <v>388</v>
      </c>
      <c r="D232" s="240" t="s">
        <v>828</v>
      </c>
      <c r="E232" s="239">
        <v>20</v>
      </c>
      <c r="F232" s="239">
        <v>3</v>
      </c>
      <c r="G232" s="239"/>
      <c r="H232" s="84" t="s">
        <v>839</v>
      </c>
      <c r="I232" s="118" t="s">
        <v>830</v>
      </c>
      <c r="J232" s="239"/>
      <c r="K232" s="239"/>
      <c r="L232" s="118"/>
      <c r="M232" s="239">
        <v>1967</v>
      </c>
      <c r="N232" s="118" t="s">
        <v>216</v>
      </c>
      <c r="O232" s="239">
        <v>5</v>
      </c>
      <c r="P232" s="239">
        <v>0</v>
      </c>
      <c r="Q232" s="239">
        <v>7</v>
      </c>
      <c r="R232" s="239">
        <v>139</v>
      </c>
      <c r="S232" s="239">
        <v>7043</v>
      </c>
      <c r="T232" s="239"/>
      <c r="U232" s="239">
        <v>6935</v>
      </c>
      <c r="V232" s="239">
        <v>108</v>
      </c>
      <c r="W232" s="118" t="s">
        <v>218</v>
      </c>
      <c r="X232" s="239" t="s">
        <v>218</v>
      </c>
      <c r="Y232" s="239" t="s">
        <v>218</v>
      </c>
      <c r="Z232" s="239" t="s">
        <v>218</v>
      </c>
      <c r="AA232" s="239" t="s">
        <v>218</v>
      </c>
      <c r="AB232" s="245" t="s">
        <v>218</v>
      </c>
      <c r="AC232" s="239" t="s">
        <v>219</v>
      </c>
      <c r="AD232" s="239" t="s">
        <v>218</v>
      </c>
      <c r="AE232" s="239" t="s">
        <v>219</v>
      </c>
      <c r="AF232" s="239">
        <v>0</v>
      </c>
      <c r="AG232" s="239"/>
      <c r="AH232" s="239"/>
      <c r="AI232" s="239"/>
      <c r="AJ232" s="239"/>
      <c r="AK232" s="239"/>
      <c r="AL232" s="239"/>
    </row>
    <row r="233" spans="1:40" s="83" customFormat="1" ht="32.25" customHeight="1" x14ac:dyDescent="0.3">
      <c r="A233" s="5">
        <v>226</v>
      </c>
      <c r="B233" s="84" t="s">
        <v>196</v>
      </c>
      <c r="C233" s="87" t="s">
        <v>388</v>
      </c>
      <c r="D233" s="240" t="s">
        <v>828</v>
      </c>
      <c r="E233" s="239">
        <v>20</v>
      </c>
      <c r="F233" s="239">
        <v>4</v>
      </c>
      <c r="G233" s="239"/>
      <c r="H233" s="84" t="s">
        <v>840</v>
      </c>
      <c r="I233" s="118" t="s">
        <v>830</v>
      </c>
      <c r="J233" s="239"/>
      <c r="K233" s="239"/>
      <c r="L233" s="118"/>
      <c r="M233" s="239">
        <v>1967</v>
      </c>
      <c r="N233" s="118" t="s">
        <v>216</v>
      </c>
      <c r="O233" s="239">
        <v>5</v>
      </c>
      <c r="P233" s="239">
        <v>0</v>
      </c>
      <c r="Q233" s="239">
        <v>7</v>
      </c>
      <c r="R233" s="239">
        <v>139</v>
      </c>
      <c r="S233" s="239">
        <v>6960</v>
      </c>
      <c r="T233" s="239"/>
      <c r="U233" s="239">
        <v>6853</v>
      </c>
      <c r="V233" s="239">
        <v>107</v>
      </c>
      <c r="W233" s="118" t="s">
        <v>218</v>
      </c>
      <c r="X233" s="239" t="s">
        <v>218</v>
      </c>
      <c r="Y233" s="239" t="s">
        <v>218</v>
      </c>
      <c r="Z233" s="239" t="s">
        <v>218</v>
      </c>
      <c r="AA233" s="242" t="s">
        <v>218</v>
      </c>
      <c r="AB233" s="244" t="s">
        <v>218</v>
      </c>
      <c r="AC233" s="239" t="s">
        <v>219</v>
      </c>
      <c r="AD233" s="239" t="s">
        <v>218</v>
      </c>
      <c r="AE233" s="239" t="s">
        <v>219</v>
      </c>
      <c r="AF233" s="239">
        <v>0</v>
      </c>
      <c r="AG233" s="239"/>
      <c r="AH233" s="239"/>
      <c r="AI233" s="239"/>
      <c r="AJ233" s="239"/>
      <c r="AK233" s="239"/>
      <c r="AL233" s="239"/>
    </row>
    <row r="234" spans="1:40" s="83" customFormat="1" ht="32.25" customHeight="1" x14ac:dyDescent="0.3">
      <c r="A234" s="80">
        <v>227</v>
      </c>
      <c r="B234" s="84" t="s">
        <v>196</v>
      </c>
      <c r="C234" s="87" t="s">
        <v>388</v>
      </c>
      <c r="D234" s="240" t="s">
        <v>828</v>
      </c>
      <c r="E234" s="239">
        <v>30</v>
      </c>
      <c r="F234" s="239">
        <v>1</v>
      </c>
      <c r="G234" s="239"/>
      <c r="H234" s="84" t="s">
        <v>841</v>
      </c>
      <c r="I234" s="239" t="s">
        <v>247</v>
      </c>
      <c r="J234" s="239"/>
      <c r="K234" s="239"/>
      <c r="L234" s="118" t="s">
        <v>831</v>
      </c>
      <c r="M234" s="239">
        <v>1967</v>
      </c>
      <c r="N234" s="118" t="s">
        <v>216</v>
      </c>
      <c r="O234" s="239">
        <v>9</v>
      </c>
      <c r="P234" s="239">
        <v>0</v>
      </c>
      <c r="Q234" s="239">
        <v>6</v>
      </c>
      <c r="R234" s="239">
        <v>216</v>
      </c>
      <c r="S234" s="239">
        <v>11235</v>
      </c>
      <c r="T234" s="239"/>
      <c r="U234" s="239">
        <v>11147</v>
      </c>
      <c r="V234" s="239">
        <v>88</v>
      </c>
      <c r="W234" s="118" t="s">
        <v>218</v>
      </c>
      <c r="X234" s="239" t="s">
        <v>218</v>
      </c>
      <c r="Y234" s="239" t="s">
        <v>218</v>
      </c>
      <c r="Z234" s="239" t="s">
        <v>218</v>
      </c>
      <c r="AA234" s="239" t="s">
        <v>218</v>
      </c>
      <c r="AB234" s="239" t="s">
        <v>218</v>
      </c>
      <c r="AC234" s="239" t="s">
        <v>219</v>
      </c>
      <c r="AD234" s="239" t="s">
        <v>218</v>
      </c>
      <c r="AE234" s="239" t="s">
        <v>219</v>
      </c>
      <c r="AF234" s="239">
        <v>6</v>
      </c>
      <c r="AG234" s="239"/>
      <c r="AH234" s="239"/>
      <c r="AI234" s="239"/>
      <c r="AJ234" s="239"/>
      <c r="AK234" s="239"/>
      <c r="AL234" s="239"/>
    </row>
    <row r="235" spans="1:40" s="83" customFormat="1" ht="32.25" customHeight="1" x14ac:dyDescent="0.3">
      <c r="A235" s="5">
        <v>228</v>
      </c>
      <c r="B235" s="84" t="s">
        <v>196</v>
      </c>
      <c r="C235" s="87" t="s">
        <v>388</v>
      </c>
      <c r="D235" s="240" t="s">
        <v>828</v>
      </c>
      <c r="E235" s="239">
        <v>30</v>
      </c>
      <c r="F235" s="239">
        <v>2</v>
      </c>
      <c r="G235" s="239"/>
      <c r="H235" s="84" t="s">
        <v>842</v>
      </c>
      <c r="I235" s="239" t="s">
        <v>247</v>
      </c>
      <c r="J235" s="239"/>
      <c r="K235" s="239"/>
      <c r="L235" s="118"/>
      <c r="M235" s="239">
        <v>1989</v>
      </c>
      <c r="N235" s="118" t="s">
        <v>318</v>
      </c>
      <c r="O235" s="239">
        <v>14</v>
      </c>
      <c r="P235" s="239">
        <v>0</v>
      </c>
      <c r="Q235" s="239">
        <v>3</v>
      </c>
      <c r="R235" s="239">
        <v>156</v>
      </c>
      <c r="S235" s="239">
        <v>11144</v>
      </c>
      <c r="T235" s="239"/>
      <c r="U235" s="239">
        <v>9616</v>
      </c>
      <c r="V235" s="239">
        <v>1528</v>
      </c>
      <c r="W235" s="118" t="s">
        <v>218</v>
      </c>
      <c r="X235" s="239" t="s">
        <v>218</v>
      </c>
      <c r="Y235" s="239" t="s">
        <v>218</v>
      </c>
      <c r="Z235" s="239" t="s">
        <v>218</v>
      </c>
      <c r="AA235" s="239" t="s">
        <v>218</v>
      </c>
      <c r="AB235" s="239" t="s">
        <v>219</v>
      </c>
      <c r="AC235" s="239" t="s">
        <v>219</v>
      </c>
      <c r="AD235" s="239" t="s">
        <v>219</v>
      </c>
      <c r="AE235" s="239" t="s">
        <v>218</v>
      </c>
      <c r="AF235" s="239">
        <v>6</v>
      </c>
      <c r="AG235" s="239"/>
      <c r="AH235" s="239"/>
      <c r="AI235" s="239"/>
      <c r="AJ235" s="239"/>
      <c r="AK235" s="239"/>
      <c r="AL235" s="239"/>
    </row>
    <row r="236" spans="1:40" s="83" customFormat="1" ht="32.25" customHeight="1" x14ac:dyDescent="0.3">
      <c r="A236" s="80">
        <v>229</v>
      </c>
      <c r="B236" s="84" t="s">
        <v>196</v>
      </c>
      <c r="C236" s="87" t="s">
        <v>388</v>
      </c>
      <c r="D236" s="240" t="s">
        <v>828</v>
      </c>
      <c r="E236" s="239">
        <v>31</v>
      </c>
      <c r="F236" s="239"/>
      <c r="G236" s="239"/>
      <c r="H236" s="84" t="s">
        <v>843</v>
      </c>
      <c r="I236" s="118" t="s">
        <v>830</v>
      </c>
      <c r="J236" s="239"/>
      <c r="K236" s="239"/>
      <c r="L236" s="118" t="s">
        <v>829</v>
      </c>
      <c r="M236" s="239">
        <v>1970</v>
      </c>
      <c r="N236" s="118" t="s">
        <v>216</v>
      </c>
      <c r="O236" s="239">
        <v>9</v>
      </c>
      <c r="P236" s="239">
        <v>0</v>
      </c>
      <c r="Q236" s="239">
        <v>6</v>
      </c>
      <c r="R236" s="239">
        <v>216</v>
      </c>
      <c r="S236" s="239">
        <v>11215</v>
      </c>
      <c r="T236" s="239"/>
      <c r="U236" s="239">
        <v>11198</v>
      </c>
      <c r="V236" s="239">
        <v>17</v>
      </c>
      <c r="W236" s="118" t="s">
        <v>218</v>
      </c>
      <c r="X236" s="239" t="s">
        <v>218</v>
      </c>
      <c r="Y236" s="239" t="s">
        <v>218</v>
      </c>
      <c r="Z236" s="239" t="s">
        <v>218</v>
      </c>
      <c r="AA236" s="239" t="s">
        <v>218</v>
      </c>
      <c r="AB236" s="239" t="s">
        <v>218</v>
      </c>
      <c r="AC236" s="239" t="s">
        <v>219</v>
      </c>
      <c r="AD236" s="239" t="s">
        <v>218</v>
      </c>
      <c r="AE236" s="239" t="s">
        <v>219</v>
      </c>
      <c r="AF236" s="239">
        <v>6</v>
      </c>
      <c r="AG236" s="239"/>
      <c r="AH236" s="239"/>
      <c r="AI236" s="239"/>
      <c r="AJ236" s="239"/>
      <c r="AK236" s="239"/>
      <c r="AL236" s="239"/>
    </row>
    <row r="237" spans="1:40" s="83" customFormat="1" ht="32.25" customHeight="1" x14ac:dyDescent="0.3">
      <c r="A237" s="5">
        <v>230</v>
      </c>
      <c r="B237" s="84" t="s">
        <v>196</v>
      </c>
      <c r="C237" s="87" t="s">
        <v>388</v>
      </c>
      <c r="D237" s="240" t="s">
        <v>828</v>
      </c>
      <c r="E237" s="239">
        <v>32</v>
      </c>
      <c r="F237" s="239">
        <v>2</v>
      </c>
      <c r="G237" s="239"/>
      <c r="H237" s="84" t="s">
        <v>844</v>
      </c>
      <c r="I237" s="118" t="s">
        <v>830</v>
      </c>
      <c r="J237" s="239"/>
      <c r="K237" s="239"/>
      <c r="L237" s="118"/>
      <c r="M237" s="239">
        <v>1966</v>
      </c>
      <c r="N237" s="118" t="s">
        <v>216</v>
      </c>
      <c r="O237" s="239">
        <v>5</v>
      </c>
      <c r="P237" s="239">
        <v>0</v>
      </c>
      <c r="Q237" s="239">
        <v>7</v>
      </c>
      <c r="R237" s="239">
        <v>138</v>
      </c>
      <c r="S237" s="239">
        <v>6958</v>
      </c>
      <c r="T237" s="239"/>
      <c r="U237" s="239">
        <v>6850</v>
      </c>
      <c r="V237" s="239">
        <v>108</v>
      </c>
      <c r="W237" s="118" t="s">
        <v>218</v>
      </c>
      <c r="X237" s="239" t="s">
        <v>218</v>
      </c>
      <c r="Y237" s="239" t="s">
        <v>218</v>
      </c>
      <c r="Z237" s="239" t="s">
        <v>218</v>
      </c>
      <c r="AA237" s="239" t="s">
        <v>218</v>
      </c>
      <c r="AB237" s="239" t="s">
        <v>218</v>
      </c>
      <c r="AC237" s="239" t="s">
        <v>219</v>
      </c>
      <c r="AD237" s="239" t="s">
        <v>218</v>
      </c>
      <c r="AE237" s="239" t="s">
        <v>219</v>
      </c>
      <c r="AF237" s="239">
        <v>0</v>
      </c>
      <c r="AG237" s="239"/>
      <c r="AH237" s="239"/>
      <c r="AI237" s="239"/>
      <c r="AJ237" s="239"/>
      <c r="AK237" s="239"/>
      <c r="AL237" s="239"/>
    </row>
    <row r="238" spans="1:40" s="83" customFormat="1" ht="32.25" customHeight="1" x14ac:dyDescent="0.3">
      <c r="A238" s="80">
        <v>231</v>
      </c>
      <c r="B238" s="84" t="s">
        <v>196</v>
      </c>
      <c r="C238" s="87" t="s">
        <v>388</v>
      </c>
      <c r="D238" s="240" t="s">
        <v>828</v>
      </c>
      <c r="E238" s="239">
        <v>33</v>
      </c>
      <c r="F238" s="239">
        <v>2</v>
      </c>
      <c r="G238" s="239"/>
      <c r="H238" s="84" t="s">
        <v>845</v>
      </c>
      <c r="I238" s="118" t="s">
        <v>830</v>
      </c>
      <c r="J238" s="239"/>
      <c r="K238" s="239"/>
      <c r="L238" s="118" t="s">
        <v>367</v>
      </c>
      <c r="M238" s="239">
        <v>1967</v>
      </c>
      <c r="N238" s="118" t="s">
        <v>216</v>
      </c>
      <c r="O238" s="239">
        <v>5</v>
      </c>
      <c r="P238" s="239">
        <v>0</v>
      </c>
      <c r="Q238" s="239">
        <v>5</v>
      </c>
      <c r="R238" s="239">
        <v>100</v>
      </c>
      <c r="S238" s="239">
        <v>4539</v>
      </c>
      <c r="T238" s="239"/>
      <c r="U238" s="239">
        <v>4493</v>
      </c>
      <c r="V238" s="239">
        <v>46</v>
      </c>
      <c r="W238" s="118" t="s">
        <v>218</v>
      </c>
      <c r="X238" s="239" t="s">
        <v>218</v>
      </c>
      <c r="Y238" s="239" t="s">
        <v>218</v>
      </c>
      <c r="Z238" s="239" t="s">
        <v>218</v>
      </c>
      <c r="AA238" s="239" t="s">
        <v>218</v>
      </c>
      <c r="AB238" s="239" t="s">
        <v>218</v>
      </c>
      <c r="AC238" s="239" t="s">
        <v>219</v>
      </c>
      <c r="AD238" s="239" t="s">
        <v>218</v>
      </c>
      <c r="AE238" s="239" t="s">
        <v>219</v>
      </c>
      <c r="AF238" s="239">
        <v>0</v>
      </c>
      <c r="AG238" s="239"/>
      <c r="AH238" s="239"/>
      <c r="AI238" s="239"/>
      <c r="AJ238" s="239"/>
      <c r="AK238" s="239"/>
      <c r="AL238" s="239"/>
    </row>
    <row r="239" spans="1:40" s="83" customFormat="1" ht="32.25" customHeight="1" x14ac:dyDescent="0.3">
      <c r="A239" s="5">
        <v>232</v>
      </c>
      <c r="B239" s="84" t="s">
        <v>196</v>
      </c>
      <c r="C239" s="87" t="s">
        <v>388</v>
      </c>
      <c r="D239" s="240" t="s">
        <v>828</v>
      </c>
      <c r="E239" s="239">
        <v>33</v>
      </c>
      <c r="F239" s="239">
        <v>3</v>
      </c>
      <c r="G239" s="239"/>
      <c r="H239" s="84" t="s">
        <v>846</v>
      </c>
      <c r="I239" s="118" t="s">
        <v>830</v>
      </c>
      <c r="J239" s="239"/>
      <c r="K239" s="239"/>
      <c r="L239" s="118"/>
      <c r="M239" s="239">
        <v>1967</v>
      </c>
      <c r="N239" s="118" t="s">
        <v>216</v>
      </c>
      <c r="O239" s="239">
        <v>5</v>
      </c>
      <c r="P239" s="239">
        <v>0</v>
      </c>
      <c r="Q239" s="239">
        <v>9</v>
      </c>
      <c r="R239" s="239">
        <v>134</v>
      </c>
      <c r="S239" s="239">
        <v>6336</v>
      </c>
      <c r="T239" s="239"/>
      <c r="U239" s="239">
        <v>6275</v>
      </c>
      <c r="V239" s="239">
        <v>61</v>
      </c>
      <c r="W239" s="118" t="s">
        <v>218</v>
      </c>
      <c r="X239" s="239" t="s">
        <v>218</v>
      </c>
      <c r="Y239" s="239" t="s">
        <v>218</v>
      </c>
      <c r="Z239" s="239" t="s">
        <v>218</v>
      </c>
      <c r="AA239" s="239" t="s">
        <v>218</v>
      </c>
      <c r="AB239" s="239" t="s">
        <v>218</v>
      </c>
      <c r="AC239" s="239" t="s">
        <v>219</v>
      </c>
      <c r="AD239" s="239" t="s">
        <v>218</v>
      </c>
      <c r="AE239" s="239" t="s">
        <v>219</v>
      </c>
      <c r="AF239" s="239">
        <v>0</v>
      </c>
      <c r="AG239" s="239"/>
      <c r="AH239" s="239"/>
      <c r="AI239" s="239"/>
      <c r="AJ239" s="239"/>
      <c r="AK239" s="239"/>
      <c r="AL239" s="239"/>
    </row>
    <row r="240" spans="1:40" s="83" customFormat="1" ht="32.25" customHeight="1" x14ac:dyDescent="0.3">
      <c r="A240" s="80">
        <v>233</v>
      </c>
      <c r="B240" s="84" t="s">
        <v>196</v>
      </c>
      <c r="C240" s="87" t="s">
        <v>388</v>
      </c>
      <c r="D240" s="240" t="s">
        <v>828</v>
      </c>
      <c r="E240" s="239">
        <v>34</v>
      </c>
      <c r="F240" s="239">
        <v>1</v>
      </c>
      <c r="G240" s="239"/>
      <c r="H240" s="84" t="s">
        <v>847</v>
      </c>
      <c r="I240" s="118" t="s">
        <v>830</v>
      </c>
      <c r="J240" s="239"/>
      <c r="K240" s="239"/>
      <c r="L240" s="118" t="s">
        <v>368</v>
      </c>
      <c r="M240" s="239">
        <v>1969</v>
      </c>
      <c r="N240" s="118" t="s">
        <v>318</v>
      </c>
      <c r="O240" s="239">
        <v>9</v>
      </c>
      <c r="P240" s="239">
        <v>0</v>
      </c>
      <c r="Q240" s="239">
        <v>1</v>
      </c>
      <c r="R240" s="239">
        <v>45</v>
      </c>
      <c r="S240" s="239">
        <v>2087</v>
      </c>
      <c r="T240" s="239"/>
      <c r="U240" s="239">
        <v>1985</v>
      </c>
      <c r="V240" s="239">
        <v>102</v>
      </c>
      <c r="W240" s="118" t="s">
        <v>218</v>
      </c>
      <c r="X240" s="239" t="s">
        <v>218</v>
      </c>
      <c r="Y240" s="239" t="s">
        <v>218</v>
      </c>
      <c r="Z240" s="239" t="s">
        <v>218</v>
      </c>
      <c r="AA240" s="239" t="s">
        <v>218</v>
      </c>
      <c r="AB240" s="239" t="s">
        <v>218</v>
      </c>
      <c r="AC240" s="239" t="s">
        <v>219</v>
      </c>
      <c r="AD240" s="239" t="s">
        <v>218</v>
      </c>
      <c r="AE240" s="239" t="s">
        <v>219</v>
      </c>
      <c r="AF240" s="239">
        <v>1</v>
      </c>
      <c r="AG240" s="239"/>
      <c r="AH240" s="239"/>
      <c r="AI240" s="239"/>
      <c r="AJ240" s="239"/>
      <c r="AK240" s="239"/>
      <c r="AL240" s="239"/>
    </row>
    <row r="241" spans="1:38" s="83" customFormat="1" ht="32.25" customHeight="1" x14ac:dyDescent="0.3">
      <c r="A241" s="5">
        <v>234</v>
      </c>
      <c r="B241" s="84" t="s">
        <v>196</v>
      </c>
      <c r="C241" s="87" t="s">
        <v>388</v>
      </c>
      <c r="D241" s="240" t="s">
        <v>828</v>
      </c>
      <c r="E241" s="239">
        <v>34</v>
      </c>
      <c r="F241" s="239">
        <v>2</v>
      </c>
      <c r="G241" s="239"/>
      <c r="H241" s="84" t="s">
        <v>848</v>
      </c>
      <c r="I241" s="239" t="s">
        <v>247</v>
      </c>
      <c r="J241" s="239"/>
      <c r="K241" s="239"/>
      <c r="L241" s="118" t="s">
        <v>829</v>
      </c>
      <c r="M241" s="239">
        <v>1967</v>
      </c>
      <c r="N241" s="118" t="s">
        <v>216</v>
      </c>
      <c r="O241" s="239">
        <v>9</v>
      </c>
      <c r="P241" s="239">
        <v>0</v>
      </c>
      <c r="Q241" s="239">
        <v>6</v>
      </c>
      <c r="R241" s="239">
        <v>216</v>
      </c>
      <c r="S241" s="239">
        <v>11161</v>
      </c>
      <c r="T241" s="239"/>
      <c r="U241" s="239">
        <v>11143</v>
      </c>
      <c r="V241" s="239">
        <v>18</v>
      </c>
      <c r="W241" s="118" t="s">
        <v>218</v>
      </c>
      <c r="X241" s="239" t="s">
        <v>218</v>
      </c>
      <c r="Y241" s="239" t="s">
        <v>218</v>
      </c>
      <c r="Z241" s="239" t="s">
        <v>218</v>
      </c>
      <c r="AA241" s="239" t="s">
        <v>218</v>
      </c>
      <c r="AB241" s="239" t="s">
        <v>218</v>
      </c>
      <c r="AC241" s="239" t="s">
        <v>219</v>
      </c>
      <c r="AD241" s="239" t="s">
        <v>218</v>
      </c>
      <c r="AE241" s="239" t="s">
        <v>219</v>
      </c>
      <c r="AF241" s="239">
        <v>6</v>
      </c>
      <c r="AG241" s="239"/>
      <c r="AH241" s="239"/>
      <c r="AI241" s="239"/>
      <c r="AJ241" s="239"/>
      <c r="AK241" s="239"/>
      <c r="AL241" s="239"/>
    </row>
    <row r="242" spans="1:38" s="83" customFormat="1" ht="32.25" customHeight="1" x14ac:dyDescent="0.3">
      <c r="A242" s="80">
        <v>235</v>
      </c>
      <c r="B242" s="84" t="s">
        <v>196</v>
      </c>
      <c r="C242" s="87" t="s">
        <v>388</v>
      </c>
      <c r="D242" s="240" t="s">
        <v>828</v>
      </c>
      <c r="E242" s="239">
        <v>35</v>
      </c>
      <c r="F242" s="239">
        <v>3</v>
      </c>
      <c r="G242" s="239"/>
      <c r="H242" s="84" t="s">
        <v>849</v>
      </c>
      <c r="I242" s="118" t="s">
        <v>830</v>
      </c>
      <c r="J242" s="239"/>
      <c r="K242" s="239"/>
      <c r="L242" s="118" t="s">
        <v>829</v>
      </c>
      <c r="M242" s="239">
        <v>1967</v>
      </c>
      <c r="N242" s="118" t="s">
        <v>216</v>
      </c>
      <c r="O242" s="239">
        <v>9</v>
      </c>
      <c r="P242" s="239">
        <v>0</v>
      </c>
      <c r="Q242" s="239">
        <v>6</v>
      </c>
      <c r="R242" s="239">
        <v>216</v>
      </c>
      <c r="S242" s="239">
        <v>11196</v>
      </c>
      <c r="T242" s="239"/>
      <c r="U242" s="239">
        <v>11179</v>
      </c>
      <c r="V242" s="239">
        <v>17</v>
      </c>
      <c r="W242" s="118" t="s">
        <v>218</v>
      </c>
      <c r="X242" s="239" t="s">
        <v>218</v>
      </c>
      <c r="Y242" s="239" t="s">
        <v>218</v>
      </c>
      <c r="Z242" s="239" t="s">
        <v>218</v>
      </c>
      <c r="AA242" s="239" t="s">
        <v>218</v>
      </c>
      <c r="AB242" s="239" t="s">
        <v>218</v>
      </c>
      <c r="AC242" s="239" t="s">
        <v>219</v>
      </c>
      <c r="AD242" s="239" t="s">
        <v>218</v>
      </c>
      <c r="AE242" s="239" t="s">
        <v>219</v>
      </c>
      <c r="AF242" s="239">
        <v>6</v>
      </c>
      <c r="AG242" s="239"/>
      <c r="AH242" s="239"/>
      <c r="AI242" s="239"/>
      <c r="AJ242" s="239"/>
      <c r="AK242" s="239"/>
      <c r="AL242" s="239"/>
    </row>
    <row r="243" spans="1:38" s="83" customFormat="1" ht="32.25" customHeight="1" x14ac:dyDescent="0.3">
      <c r="A243" s="5">
        <v>236</v>
      </c>
      <c r="B243" s="84" t="s">
        <v>196</v>
      </c>
      <c r="C243" s="87" t="s">
        <v>388</v>
      </c>
      <c r="D243" s="240" t="s">
        <v>828</v>
      </c>
      <c r="E243" s="239">
        <v>35</v>
      </c>
      <c r="F243" s="239">
        <v>4</v>
      </c>
      <c r="G243" s="239"/>
      <c r="H243" s="84" t="s">
        <v>850</v>
      </c>
      <c r="I243" s="118" t="s">
        <v>830</v>
      </c>
      <c r="J243" s="239"/>
      <c r="K243" s="239"/>
      <c r="L243" s="118" t="s">
        <v>367</v>
      </c>
      <c r="M243" s="239">
        <v>1967</v>
      </c>
      <c r="N243" s="118" t="s">
        <v>216</v>
      </c>
      <c r="O243" s="239">
        <v>5</v>
      </c>
      <c r="P243" s="239">
        <v>0</v>
      </c>
      <c r="Q243" s="239">
        <v>5</v>
      </c>
      <c r="R243" s="239">
        <v>100</v>
      </c>
      <c r="S243" s="239">
        <v>4537</v>
      </c>
      <c r="T243" s="239"/>
      <c r="U243" s="239">
        <v>4485</v>
      </c>
      <c r="V243" s="239">
        <v>52</v>
      </c>
      <c r="W243" s="118" t="s">
        <v>218</v>
      </c>
      <c r="X243" s="239" t="s">
        <v>218</v>
      </c>
      <c r="Y243" s="239" t="s">
        <v>218</v>
      </c>
      <c r="Z243" s="239" t="s">
        <v>218</v>
      </c>
      <c r="AA243" s="239" t="s">
        <v>218</v>
      </c>
      <c r="AB243" s="239" t="s">
        <v>218</v>
      </c>
      <c r="AC243" s="239" t="s">
        <v>219</v>
      </c>
      <c r="AD243" s="239" t="s">
        <v>218</v>
      </c>
      <c r="AE243" s="239" t="s">
        <v>219</v>
      </c>
      <c r="AF243" s="239">
        <v>0</v>
      </c>
      <c r="AG243" s="239"/>
      <c r="AH243" s="239"/>
      <c r="AI243" s="239"/>
      <c r="AJ243" s="239"/>
      <c r="AK243" s="239"/>
      <c r="AL243" s="239"/>
    </row>
    <row r="244" spans="1:38" s="83" customFormat="1" ht="32.25" customHeight="1" x14ac:dyDescent="0.3">
      <c r="A244" s="80">
        <v>237</v>
      </c>
      <c r="B244" s="84" t="s">
        <v>196</v>
      </c>
      <c r="C244" s="87" t="s">
        <v>388</v>
      </c>
      <c r="D244" s="240" t="s">
        <v>828</v>
      </c>
      <c r="E244" s="239">
        <v>35</v>
      </c>
      <c r="F244" s="239">
        <v>5</v>
      </c>
      <c r="G244" s="239"/>
      <c r="H244" s="84" t="s">
        <v>851</v>
      </c>
      <c r="I244" s="118" t="s">
        <v>830</v>
      </c>
      <c r="J244" s="239"/>
      <c r="K244" s="239"/>
      <c r="L244" s="118" t="s">
        <v>367</v>
      </c>
      <c r="M244" s="239">
        <v>1966</v>
      </c>
      <c r="N244" s="118" t="s">
        <v>216</v>
      </c>
      <c r="O244" s="239">
        <v>5</v>
      </c>
      <c r="P244" s="239">
        <v>0</v>
      </c>
      <c r="Q244" s="239">
        <v>5</v>
      </c>
      <c r="R244" s="239">
        <v>100</v>
      </c>
      <c r="S244" s="239">
        <v>4513</v>
      </c>
      <c r="T244" s="239"/>
      <c r="U244" s="239">
        <v>4468</v>
      </c>
      <c r="V244" s="239">
        <v>45</v>
      </c>
      <c r="W244" s="118" t="s">
        <v>218</v>
      </c>
      <c r="X244" s="239" t="s">
        <v>218</v>
      </c>
      <c r="Y244" s="239" t="s">
        <v>218</v>
      </c>
      <c r="Z244" s="239" t="s">
        <v>218</v>
      </c>
      <c r="AA244" s="239" t="s">
        <v>218</v>
      </c>
      <c r="AB244" s="239" t="s">
        <v>218</v>
      </c>
      <c r="AC244" s="239" t="s">
        <v>219</v>
      </c>
      <c r="AD244" s="239" t="s">
        <v>218</v>
      </c>
      <c r="AE244" s="239" t="s">
        <v>219</v>
      </c>
      <c r="AF244" s="239">
        <v>0</v>
      </c>
      <c r="AG244" s="239"/>
      <c r="AH244" s="239"/>
      <c r="AI244" s="239"/>
      <c r="AJ244" s="239"/>
      <c r="AK244" s="239"/>
      <c r="AL244" s="239"/>
    </row>
    <row r="245" spans="1:38" s="83" customFormat="1" ht="32.25" customHeight="1" x14ac:dyDescent="0.3">
      <c r="A245" s="5">
        <v>238</v>
      </c>
      <c r="B245" s="84" t="s">
        <v>196</v>
      </c>
      <c r="C245" s="87" t="s">
        <v>388</v>
      </c>
      <c r="D245" s="240" t="s">
        <v>828</v>
      </c>
      <c r="E245" s="239">
        <v>35</v>
      </c>
      <c r="F245" s="239">
        <v>6</v>
      </c>
      <c r="G245" s="239"/>
      <c r="H245" s="84" t="s">
        <v>852</v>
      </c>
      <c r="I245" s="118" t="s">
        <v>830</v>
      </c>
      <c r="J245" s="239"/>
      <c r="K245" s="239"/>
      <c r="L245" s="118" t="s">
        <v>367</v>
      </c>
      <c r="M245" s="239">
        <v>1966</v>
      </c>
      <c r="N245" s="118" t="s">
        <v>216</v>
      </c>
      <c r="O245" s="239">
        <v>5</v>
      </c>
      <c r="P245" s="239">
        <v>0</v>
      </c>
      <c r="Q245" s="239">
        <v>5</v>
      </c>
      <c r="R245" s="239">
        <v>100</v>
      </c>
      <c r="S245" s="239">
        <v>4529</v>
      </c>
      <c r="T245" s="239"/>
      <c r="U245" s="239">
        <v>4477</v>
      </c>
      <c r="V245" s="239">
        <v>52</v>
      </c>
      <c r="W245" s="118" t="s">
        <v>218</v>
      </c>
      <c r="X245" s="239" t="s">
        <v>218</v>
      </c>
      <c r="Y245" s="239" t="s">
        <v>218</v>
      </c>
      <c r="Z245" s="239" t="s">
        <v>218</v>
      </c>
      <c r="AA245" s="239" t="s">
        <v>218</v>
      </c>
      <c r="AB245" s="239" t="s">
        <v>218</v>
      </c>
      <c r="AC245" s="239" t="s">
        <v>219</v>
      </c>
      <c r="AD245" s="239" t="s">
        <v>218</v>
      </c>
      <c r="AE245" s="239" t="s">
        <v>219</v>
      </c>
      <c r="AF245" s="239">
        <v>0</v>
      </c>
      <c r="AG245" s="239"/>
      <c r="AH245" s="239"/>
      <c r="AI245" s="239"/>
      <c r="AJ245" s="239"/>
      <c r="AK245" s="239"/>
      <c r="AL245" s="239"/>
    </row>
    <row r="246" spans="1:38" s="83" customFormat="1" ht="32.25" customHeight="1" x14ac:dyDescent="0.3">
      <c r="A246" s="80">
        <v>239</v>
      </c>
      <c r="B246" s="84" t="s">
        <v>196</v>
      </c>
      <c r="C246" s="87" t="s">
        <v>388</v>
      </c>
      <c r="D246" s="240" t="s">
        <v>828</v>
      </c>
      <c r="E246" s="239">
        <v>37</v>
      </c>
      <c r="F246" s="239">
        <v>5</v>
      </c>
      <c r="G246" s="239"/>
      <c r="H246" s="84" t="s">
        <v>853</v>
      </c>
      <c r="I246" s="118" t="s">
        <v>830</v>
      </c>
      <c r="J246" s="239"/>
      <c r="K246" s="246"/>
      <c r="L246" s="118"/>
      <c r="M246" s="245">
        <v>1967</v>
      </c>
      <c r="N246" s="118" t="s">
        <v>216</v>
      </c>
      <c r="O246" s="239">
        <v>5</v>
      </c>
      <c r="P246" s="239">
        <v>0</v>
      </c>
      <c r="Q246" s="239">
        <v>7</v>
      </c>
      <c r="R246" s="239">
        <v>139</v>
      </c>
      <c r="S246" s="239">
        <v>6931</v>
      </c>
      <c r="T246" s="239"/>
      <c r="U246" s="239">
        <v>6823</v>
      </c>
      <c r="V246" s="239">
        <v>108</v>
      </c>
      <c r="W246" s="118" t="s">
        <v>218</v>
      </c>
      <c r="X246" s="239" t="s">
        <v>218</v>
      </c>
      <c r="Y246" s="239" t="s">
        <v>218</v>
      </c>
      <c r="Z246" s="239" t="s">
        <v>218</v>
      </c>
      <c r="AA246" s="239" t="s">
        <v>218</v>
      </c>
      <c r="AB246" s="239" t="s">
        <v>218</v>
      </c>
      <c r="AC246" s="239" t="s">
        <v>219</v>
      </c>
      <c r="AD246" s="239" t="s">
        <v>218</v>
      </c>
      <c r="AE246" s="239" t="s">
        <v>219</v>
      </c>
      <c r="AF246" s="239">
        <v>0</v>
      </c>
      <c r="AG246" s="239"/>
      <c r="AH246" s="239"/>
      <c r="AI246" s="239"/>
      <c r="AJ246" s="239"/>
      <c r="AK246" s="239"/>
      <c r="AL246" s="239"/>
    </row>
    <row r="247" spans="1:38" s="83" customFormat="1" ht="32.25" customHeight="1" x14ac:dyDescent="0.3">
      <c r="A247" s="5">
        <v>240</v>
      </c>
      <c r="B247" s="84" t="s">
        <v>196</v>
      </c>
      <c r="C247" s="87" t="s">
        <v>388</v>
      </c>
      <c r="D247" s="240" t="s">
        <v>828</v>
      </c>
      <c r="E247" s="239">
        <v>40</v>
      </c>
      <c r="F247" s="239">
        <v>2</v>
      </c>
      <c r="G247" s="239"/>
      <c r="H247" s="84" t="s">
        <v>854</v>
      </c>
      <c r="I247" s="239" t="s">
        <v>247</v>
      </c>
      <c r="J247" s="239"/>
      <c r="K247" s="246"/>
      <c r="L247" s="118"/>
      <c r="M247" s="245">
        <v>1966</v>
      </c>
      <c r="N247" s="118" t="s">
        <v>216</v>
      </c>
      <c r="O247" s="239">
        <v>5</v>
      </c>
      <c r="P247" s="239">
        <v>0</v>
      </c>
      <c r="Q247" s="239">
        <v>7</v>
      </c>
      <c r="R247" s="239">
        <v>139</v>
      </c>
      <c r="S247" s="239">
        <v>6979</v>
      </c>
      <c r="T247" s="239"/>
      <c r="U247" s="239">
        <v>6870</v>
      </c>
      <c r="V247" s="239">
        <v>109</v>
      </c>
      <c r="W247" s="118" t="s">
        <v>218</v>
      </c>
      <c r="X247" s="239" t="s">
        <v>218</v>
      </c>
      <c r="Y247" s="239" t="s">
        <v>218</v>
      </c>
      <c r="Z247" s="239" t="s">
        <v>218</v>
      </c>
      <c r="AA247" s="239" t="s">
        <v>218</v>
      </c>
      <c r="AB247" s="239" t="s">
        <v>218</v>
      </c>
      <c r="AC247" s="239" t="s">
        <v>219</v>
      </c>
      <c r="AD247" s="239" t="s">
        <v>218</v>
      </c>
      <c r="AE247" s="239" t="s">
        <v>219</v>
      </c>
      <c r="AF247" s="239">
        <v>0</v>
      </c>
      <c r="AG247" s="239"/>
      <c r="AH247" s="239"/>
      <c r="AI247" s="239"/>
      <c r="AJ247" s="239"/>
      <c r="AK247" s="239"/>
      <c r="AL247" s="239"/>
    </row>
    <row r="248" spans="1:38" s="83" customFormat="1" ht="32.25" customHeight="1" x14ac:dyDescent="0.3">
      <c r="A248" s="80">
        <v>241</v>
      </c>
      <c r="B248" s="84" t="s">
        <v>196</v>
      </c>
      <c r="C248" s="87" t="s">
        <v>388</v>
      </c>
      <c r="D248" s="240" t="s">
        <v>828</v>
      </c>
      <c r="E248" s="239">
        <v>40</v>
      </c>
      <c r="F248" s="239">
        <v>3</v>
      </c>
      <c r="G248" s="239"/>
      <c r="H248" s="84" t="s">
        <v>855</v>
      </c>
      <c r="I248" s="239" t="s">
        <v>247</v>
      </c>
      <c r="J248" s="239"/>
      <c r="K248" s="246"/>
      <c r="L248" s="118"/>
      <c r="M248" s="245">
        <v>1966</v>
      </c>
      <c r="N248" s="118" t="s">
        <v>216</v>
      </c>
      <c r="O248" s="239">
        <v>5</v>
      </c>
      <c r="P248" s="239">
        <v>0</v>
      </c>
      <c r="Q248" s="239">
        <v>7</v>
      </c>
      <c r="R248" s="239">
        <v>139</v>
      </c>
      <c r="S248" s="239">
        <v>6888</v>
      </c>
      <c r="T248" s="239"/>
      <c r="U248" s="239">
        <v>6874</v>
      </c>
      <c r="V248" s="239">
        <v>14</v>
      </c>
      <c r="W248" s="118" t="s">
        <v>218</v>
      </c>
      <c r="X248" s="239" t="s">
        <v>218</v>
      </c>
      <c r="Y248" s="239" t="s">
        <v>218</v>
      </c>
      <c r="Z248" s="239" t="s">
        <v>218</v>
      </c>
      <c r="AA248" s="239" t="s">
        <v>218</v>
      </c>
      <c r="AB248" s="239" t="s">
        <v>218</v>
      </c>
      <c r="AC248" s="239" t="s">
        <v>219</v>
      </c>
      <c r="AD248" s="239" t="s">
        <v>218</v>
      </c>
      <c r="AE248" s="239" t="s">
        <v>219</v>
      </c>
      <c r="AF248" s="239">
        <v>0</v>
      </c>
      <c r="AG248" s="239"/>
      <c r="AH248" s="239"/>
      <c r="AI248" s="239"/>
      <c r="AJ248" s="239"/>
      <c r="AK248" s="239"/>
      <c r="AL248" s="239"/>
    </row>
    <row r="249" spans="1:38" s="83" customFormat="1" ht="32.25" customHeight="1" x14ac:dyDescent="0.3">
      <c r="A249" s="5">
        <v>242</v>
      </c>
      <c r="B249" s="84" t="s">
        <v>196</v>
      </c>
      <c r="C249" s="87" t="s">
        <v>388</v>
      </c>
      <c r="D249" s="240" t="s">
        <v>828</v>
      </c>
      <c r="E249" s="239">
        <v>42</v>
      </c>
      <c r="F249" s="239">
        <v>1</v>
      </c>
      <c r="G249" s="239"/>
      <c r="H249" s="84" t="s">
        <v>856</v>
      </c>
      <c r="I249" s="118" t="s">
        <v>830</v>
      </c>
      <c r="J249" s="239"/>
      <c r="K249" s="246"/>
      <c r="L249" s="118" t="s">
        <v>368</v>
      </c>
      <c r="M249" s="245">
        <v>1971</v>
      </c>
      <c r="N249" s="118" t="s">
        <v>318</v>
      </c>
      <c r="O249" s="239">
        <v>9</v>
      </c>
      <c r="P249" s="239">
        <v>0</v>
      </c>
      <c r="Q249" s="239">
        <v>1</v>
      </c>
      <c r="R249" s="239">
        <v>45</v>
      </c>
      <c r="S249" s="239">
        <v>2074</v>
      </c>
      <c r="T249" s="239"/>
      <c r="U249" s="239">
        <v>1974</v>
      </c>
      <c r="V249" s="239">
        <v>100</v>
      </c>
      <c r="W249" s="118" t="s">
        <v>218</v>
      </c>
      <c r="X249" s="239" t="s">
        <v>218</v>
      </c>
      <c r="Y249" s="239" t="s">
        <v>218</v>
      </c>
      <c r="Z249" s="239" t="s">
        <v>218</v>
      </c>
      <c r="AA249" s="239" t="s">
        <v>218</v>
      </c>
      <c r="AB249" s="239" t="s">
        <v>218</v>
      </c>
      <c r="AC249" s="239" t="s">
        <v>219</v>
      </c>
      <c r="AD249" s="239" t="s">
        <v>218</v>
      </c>
      <c r="AE249" s="239" t="s">
        <v>219</v>
      </c>
      <c r="AF249" s="239">
        <v>1</v>
      </c>
      <c r="AG249" s="239"/>
      <c r="AH249" s="239"/>
      <c r="AI249" s="239"/>
      <c r="AJ249" s="239"/>
      <c r="AK249" s="239"/>
      <c r="AL249" s="239"/>
    </row>
    <row r="250" spans="1:38" s="83" customFormat="1" ht="32.25" customHeight="1" x14ac:dyDescent="0.3">
      <c r="A250" s="80">
        <v>243</v>
      </c>
      <c r="B250" s="84" t="s">
        <v>196</v>
      </c>
      <c r="C250" s="87" t="s">
        <v>388</v>
      </c>
      <c r="D250" s="240" t="s">
        <v>828</v>
      </c>
      <c r="E250" s="239">
        <v>42</v>
      </c>
      <c r="F250" s="239">
        <v>2</v>
      </c>
      <c r="G250" s="239"/>
      <c r="H250" s="84" t="s">
        <v>857</v>
      </c>
      <c r="I250" s="239" t="s">
        <v>247</v>
      </c>
      <c r="J250" s="239"/>
      <c r="K250" s="246"/>
      <c r="L250" s="118" t="s">
        <v>829</v>
      </c>
      <c r="M250" s="245">
        <v>1967</v>
      </c>
      <c r="N250" s="118" t="s">
        <v>216</v>
      </c>
      <c r="O250" s="239">
        <v>9</v>
      </c>
      <c r="P250" s="239">
        <v>0</v>
      </c>
      <c r="Q250" s="239">
        <v>6</v>
      </c>
      <c r="R250" s="239">
        <v>216</v>
      </c>
      <c r="S250" s="239">
        <v>11251</v>
      </c>
      <c r="T250" s="239"/>
      <c r="U250" s="239">
        <v>9990</v>
      </c>
      <c r="V250" s="239">
        <v>1261</v>
      </c>
      <c r="W250" s="118" t="s">
        <v>218</v>
      </c>
      <c r="X250" s="239" t="s">
        <v>218</v>
      </c>
      <c r="Y250" s="239" t="s">
        <v>218</v>
      </c>
      <c r="Z250" s="239" t="s">
        <v>218</v>
      </c>
      <c r="AA250" s="239" t="s">
        <v>218</v>
      </c>
      <c r="AB250" s="239" t="s">
        <v>218</v>
      </c>
      <c r="AC250" s="239" t="s">
        <v>219</v>
      </c>
      <c r="AD250" s="239" t="s">
        <v>218</v>
      </c>
      <c r="AE250" s="239" t="s">
        <v>219</v>
      </c>
      <c r="AF250" s="239">
        <v>6</v>
      </c>
      <c r="AG250" s="239"/>
      <c r="AH250" s="239"/>
      <c r="AI250" s="239"/>
      <c r="AJ250" s="239"/>
      <c r="AK250" s="239"/>
      <c r="AL250" s="239"/>
    </row>
    <row r="251" spans="1:38" s="83" customFormat="1" ht="32.25" customHeight="1" x14ac:dyDescent="0.3">
      <c r="A251" s="5">
        <v>244</v>
      </c>
      <c r="B251" s="84" t="s">
        <v>196</v>
      </c>
      <c r="C251" s="87" t="s">
        <v>388</v>
      </c>
      <c r="D251" s="240" t="s">
        <v>828</v>
      </c>
      <c r="E251" s="239">
        <v>43</v>
      </c>
      <c r="F251" s="239">
        <v>3</v>
      </c>
      <c r="G251" s="239"/>
      <c r="H251" s="84" t="s">
        <v>858</v>
      </c>
      <c r="I251" s="118" t="s">
        <v>830</v>
      </c>
      <c r="J251" s="239"/>
      <c r="K251" s="246"/>
      <c r="L251" s="118" t="s">
        <v>367</v>
      </c>
      <c r="M251" s="245">
        <v>1966</v>
      </c>
      <c r="N251" s="118" t="s">
        <v>216</v>
      </c>
      <c r="O251" s="239">
        <v>5</v>
      </c>
      <c r="P251" s="239">
        <v>0</v>
      </c>
      <c r="Q251" s="239">
        <v>5</v>
      </c>
      <c r="R251" s="239">
        <v>100</v>
      </c>
      <c r="S251" s="239">
        <v>4544</v>
      </c>
      <c r="T251" s="239"/>
      <c r="U251" s="239">
        <v>4492</v>
      </c>
      <c r="V251" s="239">
        <v>52</v>
      </c>
      <c r="W251" s="118" t="s">
        <v>218</v>
      </c>
      <c r="X251" s="239" t="s">
        <v>218</v>
      </c>
      <c r="Y251" s="239" t="s">
        <v>218</v>
      </c>
      <c r="Z251" s="239" t="s">
        <v>218</v>
      </c>
      <c r="AA251" s="239" t="s">
        <v>218</v>
      </c>
      <c r="AB251" s="239" t="s">
        <v>218</v>
      </c>
      <c r="AC251" s="239" t="s">
        <v>219</v>
      </c>
      <c r="AD251" s="239" t="s">
        <v>218</v>
      </c>
      <c r="AE251" s="239" t="s">
        <v>219</v>
      </c>
      <c r="AF251" s="239">
        <v>0</v>
      </c>
      <c r="AG251" s="239"/>
      <c r="AH251" s="239"/>
      <c r="AI251" s="239"/>
      <c r="AJ251" s="239"/>
      <c r="AK251" s="239"/>
      <c r="AL251" s="239"/>
    </row>
    <row r="252" spans="1:38" s="83" customFormat="1" ht="32.25" customHeight="1" x14ac:dyDescent="0.3">
      <c r="A252" s="80">
        <v>245</v>
      </c>
      <c r="B252" s="84" t="s">
        <v>196</v>
      </c>
      <c r="C252" s="87" t="s">
        <v>388</v>
      </c>
      <c r="D252" s="240" t="s">
        <v>828</v>
      </c>
      <c r="E252" s="239">
        <v>46</v>
      </c>
      <c r="F252" s="239">
        <v>1</v>
      </c>
      <c r="G252" s="239"/>
      <c r="H252" s="84" t="s">
        <v>859</v>
      </c>
      <c r="I252" s="239" t="s">
        <v>247</v>
      </c>
      <c r="J252" s="239"/>
      <c r="K252" s="246"/>
      <c r="L252" s="118" t="s">
        <v>829</v>
      </c>
      <c r="M252" s="245">
        <v>1967</v>
      </c>
      <c r="N252" s="118" t="s">
        <v>216</v>
      </c>
      <c r="O252" s="239"/>
      <c r="P252" s="239">
        <v>0</v>
      </c>
      <c r="Q252" s="239"/>
      <c r="R252" s="239">
        <v>216</v>
      </c>
      <c r="S252" s="239">
        <v>11262</v>
      </c>
      <c r="T252" s="239"/>
      <c r="U252" s="239">
        <v>11116</v>
      </c>
      <c r="V252" s="239">
        <v>146</v>
      </c>
      <c r="W252" s="118" t="s">
        <v>218</v>
      </c>
      <c r="X252" s="239" t="s">
        <v>218</v>
      </c>
      <c r="Y252" s="239" t="s">
        <v>218</v>
      </c>
      <c r="Z252" s="239" t="s">
        <v>218</v>
      </c>
      <c r="AA252" s="239" t="s">
        <v>218</v>
      </c>
      <c r="AB252" s="239" t="s">
        <v>218</v>
      </c>
      <c r="AC252" s="239" t="s">
        <v>219</v>
      </c>
      <c r="AD252" s="239" t="s">
        <v>218</v>
      </c>
      <c r="AE252" s="239" t="s">
        <v>219</v>
      </c>
      <c r="AF252" s="239">
        <v>6</v>
      </c>
      <c r="AG252" s="239"/>
      <c r="AH252" s="239"/>
      <c r="AI252" s="239"/>
      <c r="AJ252" s="239"/>
      <c r="AK252" s="239"/>
      <c r="AL252" s="239"/>
    </row>
    <row r="253" spans="1:38" s="83" customFormat="1" ht="32.25" customHeight="1" x14ac:dyDescent="0.3">
      <c r="A253" s="5">
        <v>246</v>
      </c>
      <c r="B253" s="84" t="s">
        <v>196</v>
      </c>
      <c r="C253" s="87" t="s">
        <v>388</v>
      </c>
      <c r="D253" s="240" t="s">
        <v>828</v>
      </c>
      <c r="E253" s="239">
        <v>46</v>
      </c>
      <c r="F253" s="245">
        <v>2</v>
      </c>
      <c r="G253" s="239"/>
      <c r="H253" s="84" t="s">
        <v>860</v>
      </c>
      <c r="I253" s="118" t="s">
        <v>830</v>
      </c>
      <c r="J253" s="239"/>
      <c r="K253" s="246"/>
      <c r="L253" s="118"/>
      <c r="M253" s="245">
        <v>1979</v>
      </c>
      <c r="N253" s="118" t="s">
        <v>318</v>
      </c>
      <c r="O253" s="246">
        <v>16</v>
      </c>
      <c r="P253" s="239">
        <v>0</v>
      </c>
      <c r="Q253" s="245">
        <v>1</v>
      </c>
      <c r="R253" s="239">
        <v>117</v>
      </c>
      <c r="S253" s="239">
        <v>8148</v>
      </c>
      <c r="T253" s="239"/>
      <c r="U253" s="239">
        <v>7128</v>
      </c>
      <c r="V253" s="239">
        <v>1020</v>
      </c>
      <c r="W253" s="118" t="s">
        <v>218</v>
      </c>
      <c r="X253" s="239" t="s">
        <v>218</v>
      </c>
      <c r="Y253" s="239" t="s">
        <v>218</v>
      </c>
      <c r="Z253" s="239" t="s">
        <v>218</v>
      </c>
      <c r="AA253" s="239" t="s">
        <v>218</v>
      </c>
      <c r="AB253" s="239" t="s">
        <v>219</v>
      </c>
      <c r="AC253" s="239" t="s">
        <v>219</v>
      </c>
      <c r="AD253" s="239" t="s">
        <v>219</v>
      </c>
      <c r="AE253" s="239" t="s">
        <v>218</v>
      </c>
      <c r="AF253" s="239">
        <v>2</v>
      </c>
      <c r="AG253" s="239"/>
      <c r="AH253" s="239"/>
      <c r="AI253" s="239"/>
      <c r="AJ253" s="239"/>
      <c r="AK253" s="239"/>
      <c r="AL253" s="239"/>
    </row>
    <row r="254" spans="1:38" s="83" customFormat="1" ht="32.25" customHeight="1" x14ac:dyDescent="0.3">
      <c r="A254" s="80">
        <v>247</v>
      </c>
      <c r="B254" s="84" t="s">
        <v>196</v>
      </c>
      <c r="C254" s="87" t="s">
        <v>388</v>
      </c>
      <c r="D254" s="240" t="s">
        <v>828</v>
      </c>
      <c r="E254" s="239">
        <v>48</v>
      </c>
      <c r="F254" s="245">
        <v>1</v>
      </c>
      <c r="G254" s="239"/>
      <c r="H254" s="84" t="s">
        <v>861</v>
      </c>
      <c r="I254" s="118" t="s">
        <v>830</v>
      </c>
      <c r="J254" s="239"/>
      <c r="K254" s="246"/>
      <c r="L254" s="118" t="s">
        <v>829</v>
      </c>
      <c r="M254" s="245">
        <v>1971</v>
      </c>
      <c r="N254" s="118" t="s">
        <v>216</v>
      </c>
      <c r="O254" s="246">
        <v>9</v>
      </c>
      <c r="P254" s="239">
        <v>0</v>
      </c>
      <c r="Q254" s="245">
        <v>1</v>
      </c>
      <c r="R254" s="239">
        <v>42</v>
      </c>
      <c r="S254" s="239">
        <v>2290</v>
      </c>
      <c r="T254" s="239"/>
      <c r="U254" s="239">
        <v>2251</v>
      </c>
      <c r="V254" s="239">
        <v>39</v>
      </c>
      <c r="W254" s="118" t="s">
        <v>218</v>
      </c>
      <c r="X254" s="239" t="s">
        <v>218</v>
      </c>
      <c r="Y254" s="239" t="s">
        <v>218</v>
      </c>
      <c r="Z254" s="239" t="s">
        <v>218</v>
      </c>
      <c r="AA254" s="239" t="s">
        <v>218</v>
      </c>
      <c r="AB254" s="239" t="s">
        <v>218</v>
      </c>
      <c r="AC254" s="239" t="s">
        <v>219</v>
      </c>
      <c r="AD254" s="239" t="s">
        <v>218</v>
      </c>
      <c r="AE254" s="239" t="s">
        <v>219</v>
      </c>
      <c r="AF254" s="239">
        <v>1</v>
      </c>
      <c r="AG254" s="239"/>
      <c r="AH254" s="239"/>
      <c r="AI254" s="239"/>
      <c r="AJ254" s="239"/>
      <c r="AK254" s="239"/>
      <c r="AL254" s="239"/>
    </row>
    <row r="255" spans="1:38" s="83" customFormat="1" ht="32.25" customHeight="1" x14ac:dyDescent="0.3">
      <c r="A255" s="5">
        <v>248</v>
      </c>
      <c r="B255" s="84" t="s">
        <v>196</v>
      </c>
      <c r="C255" s="87" t="s">
        <v>388</v>
      </c>
      <c r="D255" s="247" t="s">
        <v>832</v>
      </c>
      <c r="E255" s="239">
        <v>17</v>
      </c>
      <c r="F255" s="245">
        <v>1</v>
      </c>
      <c r="G255" s="248"/>
      <c r="H255" s="84" t="s">
        <v>862</v>
      </c>
      <c r="I255" s="118" t="s">
        <v>830</v>
      </c>
      <c r="J255" s="239"/>
      <c r="K255" s="246"/>
      <c r="L255" s="118" t="s">
        <v>367</v>
      </c>
      <c r="M255" s="245">
        <v>1967</v>
      </c>
      <c r="N255" s="118" t="s">
        <v>216</v>
      </c>
      <c r="O255" s="246">
        <v>5</v>
      </c>
      <c r="P255" s="239">
        <v>0</v>
      </c>
      <c r="Q255" s="249">
        <v>5</v>
      </c>
      <c r="R255" s="239">
        <v>100</v>
      </c>
      <c r="S255" s="245">
        <v>4567</v>
      </c>
      <c r="T255" s="239"/>
      <c r="U255" s="239">
        <v>4473</v>
      </c>
      <c r="V255" s="239">
        <v>94</v>
      </c>
      <c r="W255" s="118" t="s">
        <v>218</v>
      </c>
      <c r="X255" s="239" t="s">
        <v>218</v>
      </c>
      <c r="Y255" s="239" t="s">
        <v>218</v>
      </c>
      <c r="Z255" s="239" t="s">
        <v>218</v>
      </c>
      <c r="AA255" s="239" t="s">
        <v>218</v>
      </c>
      <c r="AB255" s="239" t="s">
        <v>218</v>
      </c>
      <c r="AC255" s="239" t="s">
        <v>219</v>
      </c>
      <c r="AD255" s="239" t="s">
        <v>218</v>
      </c>
      <c r="AE255" s="239" t="s">
        <v>219</v>
      </c>
      <c r="AF255" s="239">
        <v>0</v>
      </c>
      <c r="AG255" s="239"/>
      <c r="AH255" s="239"/>
      <c r="AI255" s="239"/>
      <c r="AJ255" s="239"/>
      <c r="AK255" s="245"/>
      <c r="AL255" s="245"/>
    </row>
    <row r="256" spans="1:38" s="83" customFormat="1" ht="32.25" customHeight="1" x14ac:dyDescent="0.3">
      <c r="A256" s="80">
        <v>249</v>
      </c>
      <c r="B256" s="84" t="s">
        <v>196</v>
      </c>
      <c r="C256" s="87" t="s">
        <v>388</v>
      </c>
      <c r="D256" s="247" t="s">
        <v>832</v>
      </c>
      <c r="E256" s="239">
        <v>17</v>
      </c>
      <c r="F256" s="245">
        <v>2</v>
      </c>
      <c r="G256" s="249"/>
      <c r="H256" s="84" t="s">
        <v>863</v>
      </c>
      <c r="I256" s="118" t="s">
        <v>830</v>
      </c>
      <c r="J256" s="239"/>
      <c r="K256" s="249"/>
      <c r="L256" s="118" t="s">
        <v>367</v>
      </c>
      <c r="M256" s="249">
        <v>1967</v>
      </c>
      <c r="N256" s="118" t="s">
        <v>216</v>
      </c>
      <c r="O256" s="249">
        <v>5</v>
      </c>
      <c r="P256" s="239">
        <v>0</v>
      </c>
      <c r="Q256" s="249">
        <v>5</v>
      </c>
      <c r="R256" s="239">
        <v>100</v>
      </c>
      <c r="S256" s="249">
        <v>4539</v>
      </c>
      <c r="T256" s="239"/>
      <c r="U256" s="249">
        <v>4487</v>
      </c>
      <c r="V256" s="239">
        <v>52</v>
      </c>
      <c r="W256" s="118" t="s">
        <v>218</v>
      </c>
      <c r="X256" s="239" t="s">
        <v>218</v>
      </c>
      <c r="Y256" s="239" t="s">
        <v>218</v>
      </c>
      <c r="Z256" s="239" t="s">
        <v>218</v>
      </c>
      <c r="AA256" s="239" t="s">
        <v>218</v>
      </c>
      <c r="AB256" s="239" t="s">
        <v>218</v>
      </c>
      <c r="AC256" s="239" t="s">
        <v>219</v>
      </c>
      <c r="AD256" s="239" t="s">
        <v>218</v>
      </c>
      <c r="AE256" s="239" t="s">
        <v>219</v>
      </c>
      <c r="AF256" s="249">
        <v>0</v>
      </c>
      <c r="AG256" s="239"/>
      <c r="AH256" s="249"/>
      <c r="AI256" s="239"/>
      <c r="AJ256" s="239"/>
      <c r="AK256" s="245"/>
      <c r="AL256" s="249"/>
    </row>
    <row r="257" spans="1:38" s="83" customFormat="1" ht="32.25" customHeight="1" x14ac:dyDescent="0.3">
      <c r="A257" s="5">
        <v>250</v>
      </c>
      <c r="B257" s="84" t="s">
        <v>196</v>
      </c>
      <c r="C257" s="87" t="s">
        <v>388</v>
      </c>
      <c r="D257" s="247" t="s">
        <v>832</v>
      </c>
      <c r="E257" s="250">
        <v>19</v>
      </c>
      <c r="F257" s="251">
        <v>1</v>
      </c>
      <c r="G257" s="244"/>
      <c r="H257" s="84" t="s">
        <v>864</v>
      </c>
      <c r="I257" s="118" t="s">
        <v>830</v>
      </c>
      <c r="J257" s="250"/>
      <c r="K257" s="244"/>
      <c r="L257" s="252" t="s">
        <v>369</v>
      </c>
      <c r="M257" s="244">
        <v>1967</v>
      </c>
      <c r="N257" s="118" t="s">
        <v>318</v>
      </c>
      <c r="O257" s="244">
        <v>9</v>
      </c>
      <c r="P257" s="239">
        <v>0</v>
      </c>
      <c r="Q257" s="244">
        <v>4</v>
      </c>
      <c r="R257" s="250">
        <v>231</v>
      </c>
      <c r="S257" s="244">
        <v>11458</v>
      </c>
      <c r="T257" s="250"/>
      <c r="U257" s="244">
        <v>11284</v>
      </c>
      <c r="V257" s="250">
        <v>174</v>
      </c>
      <c r="W257" s="118" t="s">
        <v>218</v>
      </c>
      <c r="X257" s="239" t="s">
        <v>218</v>
      </c>
      <c r="Y257" s="239" t="s">
        <v>218</v>
      </c>
      <c r="Z257" s="239" t="s">
        <v>218</v>
      </c>
      <c r="AA257" s="239" t="s">
        <v>218</v>
      </c>
      <c r="AB257" s="239" t="s">
        <v>218</v>
      </c>
      <c r="AC257" s="239" t="s">
        <v>219</v>
      </c>
      <c r="AD257" s="239" t="s">
        <v>218</v>
      </c>
      <c r="AE257" s="239" t="s">
        <v>219</v>
      </c>
      <c r="AF257" s="244">
        <v>4</v>
      </c>
      <c r="AG257" s="250"/>
      <c r="AH257" s="244"/>
      <c r="AI257" s="250"/>
      <c r="AJ257" s="244"/>
      <c r="AK257" s="243"/>
      <c r="AL257" s="243"/>
    </row>
    <row r="258" spans="1:38" s="83" customFormat="1" ht="32.25" customHeight="1" x14ac:dyDescent="0.3">
      <c r="A258" s="80">
        <v>251</v>
      </c>
      <c r="B258" s="84" t="s">
        <v>196</v>
      </c>
      <c r="C258" s="87" t="s">
        <v>388</v>
      </c>
      <c r="D258" s="247" t="s">
        <v>832</v>
      </c>
      <c r="E258" s="239">
        <v>19</v>
      </c>
      <c r="F258" s="245">
        <v>2</v>
      </c>
      <c r="G258" s="249"/>
      <c r="H258" s="84" t="s">
        <v>865</v>
      </c>
      <c r="I258" s="118" t="s">
        <v>830</v>
      </c>
      <c r="J258" s="239"/>
      <c r="K258" s="249"/>
      <c r="L258" s="118"/>
      <c r="M258" s="249">
        <v>1967</v>
      </c>
      <c r="N258" s="118" t="s">
        <v>216</v>
      </c>
      <c r="O258" s="249">
        <v>5</v>
      </c>
      <c r="P258" s="239">
        <v>0</v>
      </c>
      <c r="Q258" s="249">
        <v>7</v>
      </c>
      <c r="R258" s="239">
        <v>139</v>
      </c>
      <c r="S258" s="249">
        <v>6974</v>
      </c>
      <c r="T258" s="239"/>
      <c r="U258" s="249">
        <v>6913</v>
      </c>
      <c r="V258" s="239">
        <v>61</v>
      </c>
      <c r="W258" s="118" t="s">
        <v>218</v>
      </c>
      <c r="X258" s="239" t="s">
        <v>218</v>
      </c>
      <c r="Y258" s="239" t="s">
        <v>218</v>
      </c>
      <c r="Z258" s="239" t="s">
        <v>218</v>
      </c>
      <c r="AA258" s="239" t="s">
        <v>218</v>
      </c>
      <c r="AB258" s="239" t="s">
        <v>218</v>
      </c>
      <c r="AC258" s="239" t="s">
        <v>219</v>
      </c>
      <c r="AD258" s="239" t="s">
        <v>218</v>
      </c>
      <c r="AE258" s="239" t="s">
        <v>219</v>
      </c>
      <c r="AF258" s="249">
        <v>0</v>
      </c>
      <c r="AG258" s="239"/>
      <c r="AH258" s="249"/>
      <c r="AI258" s="239"/>
      <c r="AJ258" s="249"/>
      <c r="AK258" s="239"/>
      <c r="AL258" s="239"/>
    </row>
    <row r="259" spans="1:38" s="83" customFormat="1" ht="32.25" customHeight="1" x14ac:dyDescent="0.3">
      <c r="A259" s="5">
        <v>252</v>
      </c>
      <c r="B259" s="84" t="s">
        <v>196</v>
      </c>
      <c r="C259" s="87" t="s">
        <v>388</v>
      </c>
      <c r="D259" s="247" t="s">
        <v>832</v>
      </c>
      <c r="E259" s="250">
        <v>21</v>
      </c>
      <c r="F259" s="251">
        <v>2</v>
      </c>
      <c r="G259" s="244"/>
      <c r="H259" s="84" t="s">
        <v>866</v>
      </c>
      <c r="I259" s="118" t="s">
        <v>830</v>
      </c>
      <c r="J259" s="250"/>
      <c r="K259" s="244"/>
      <c r="L259" s="118" t="s">
        <v>368</v>
      </c>
      <c r="M259" s="244">
        <v>1969</v>
      </c>
      <c r="N259" s="118" t="s">
        <v>318</v>
      </c>
      <c r="O259" s="244">
        <v>9</v>
      </c>
      <c r="P259" s="239">
        <v>0</v>
      </c>
      <c r="Q259" s="244">
        <v>1</v>
      </c>
      <c r="R259" s="250">
        <v>45</v>
      </c>
      <c r="S259" s="244">
        <v>2097</v>
      </c>
      <c r="T259" s="250"/>
      <c r="U259" s="244">
        <v>1992</v>
      </c>
      <c r="V259" s="250">
        <v>105</v>
      </c>
      <c r="W259" s="118" t="s">
        <v>218</v>
      </c>
      <c r="X259" s="239" t="s">
        <v>218</v>
      </c>
      <c r="Y259" s="239" t="s">
        <v>218</v>
      </c>
      <c r="Z259" s="239" t="s">
        <v>218</v>
      </c>
      <c r="AA259" s="239" t="s">
        <v>218</v>
      </c>
      <c r="AB259" s="239" t="s">
        <v>218</v>
      </c>
      <c r="AC259" s="239" t="s">
        <v>219</v>
      </c>
      <c r="AD259" s="239" t="s">
        <v>218</v>
      </c>
      <c r="AE259" s="239" t="s">
        <v>219</v>
      </c>
      <c r="AF259" s="244">
        <v>1</v>
      </c>
      <c r="AG259" s="242"/>
      <c r="AH259" s="244"/>
      <c r="AI259" s="250"/>
      <c r="AJ259" s="244"/>
      <c r="AK259" s="250"/>
      <c r="AL259" s="250"/>
    </row>
    <row r="260" spans="1:38" s="83" customFormat="1" ht="32.25" customHeight="1" x14ac:dyDescent="0.3">
      <c r="A260" s="80">
        <v>253</v>
      </c>
      <c r="B260" s="84" t="s">
        <v>196</v>
      </c>
      <c r="C260" s="87" t="s">
        <v>388</v>
      </c>
      <c r="D260" s="247" t="s">
        <v>832</v>
      </c>
      <c r="E260" s="239">
        <v>25</v>
      </c>
      <c r="F260" s="245"/>
      <c r="G260" s="249"/>
      <c r="H260" s="84" t="s">
        <v>867</v>
      </c>
      <c r="I260" s="118" t="s">
        <v>830</v>
      </c>
      <c r="J260" s="239"/>
      <c r="K260" s="249"/>
      <c r="L260" s="118" t="s">
        <v>829</v>
      </c>
      <c r="M260" s="249">
        <v>1976</v>
      </c>
      <c r="N260" s="118" t="s">
        <v>216</v>
      </c>
      <c r="O260" s="249">
        <v>9</v>
      </c>
      <c r="P260" s="239">
        <v>0</v>
      </c>
      <c r="Q260" s="249">
        <v>9</v>
      </c>
      <c r="R260" s="239">
        <v>324</v>
      </c>
      <c r="S260" s="249">
        <v>17908</v>
      </c>
      <c r="T260" s="239"/>
      <c r="U260" s="249">
        <v>17825</v>
      </c>
      <c r="V260" s="239">
        <v>83</v>
      </c>
      <c r="W260" s="118" t="s">
        <v>218</v>
      </c>
      <c r="X260" s="239" t="s">
        <v>218</v>
      </c>
      <c r="Y260" s="239" t="s">
        <v>218</v>
      </c>
      <c r="Z260" s="239" t="s">
        <v>218</v>
      </c>
      <c r="AA260" s="239" t="s">
        <v>218</v>
      </c>
      <c r="AB260" s="239" t="s">
        <v>218</v>
      </c>
      <c r="AC260" s="239" t="s">
        <v>219</v>
      </c>
      <c r="AD260" s="239" t="s">
        <v>218</v>
      </c>
      <c r="AE260" s="239" t="s">
        <v>219</v>
      </c>
      <c r="AF260" s="239">
        <v>9</v>
      </c>
      <c r="AG260" s="245"/>
      <c r="AH260" s="249"/>
      <c r="AI260" s="239"/>
      <c r="AJ260" s="249"/>
      <c r="AK260" s="239"/>
      <c r="AL260" s="239"/>
    </row>
    <row r="261" spans="1:38" s="83" customFormat="1" ht="32.25" customHeight="1" x14ac:dyDescent="0.3">
      <c r="A261" s="5">
        <v>254</v>
      </c>
      <c r="B261" s="84" t="s">
        <v>196</v>
      </c>
      <c r="C261" s="87" t="s">
        <v>388</v>
      </c>
      <c r="D261" s="253" t="s">
        <v>833</v>
      </c>
      <c r="E261" s="250">
        <v>22</v>
      </c>
      <c r="F261" s="251">
        <v>3</v>
      </c>
      <c r="G261" s="244"/>
      <c r="H261" s="84" t="s">
        <v>868</v>
      </c>
      <c r="I261" s="118" t="s">
        <v>830</v>
      </c>
      <c r="J261" s="250"/>
      <c r="K261" s="244"/>
      <c r="L261" s="118" t="s">
        <v>367</v>
      </c>
      <c r="M261" s="244">
        <v>1966</v>
      </c>
      <c r="N261" s="118" t="s">
        <v>216</v>
      </c>
      <c r="O261" s="244">
        <v>5</v>
      </c>
      <c r="P261" s="239">
        <v>0</v>
      </c>
      <c r="Q261" s="244">
        <v>5</v>
      </c>
      <c r="R261" s="250">
        <v>100</v>
      </c>
      <c r="S261" s="244">
        <v>4490</v>
      </c>
      <c r="T261" s="242"/>
      <c r="U261" s="244">
        <v>4490</v>
      </c>
      <c r="V261" s="250">
        <v>0</v>
      </c>
      <c r="W261" s="118" t="s">
        <v>218</v>
      </c>
      <c r="X261" s="239" t="s">
        <v>218</v>
      </c>
      <c r="Y261" s="239" t="s">
        <v>218</v>
      </c>
      <c r="Z261" s="239" t="s">
        <v>218</v>
      </c>
      <c r="AA261" s="239" t="s">
        <v>218</v>
      </c>
      <c r="AB261" s="239" t="s">
        <v>218</v>
      </c>
      <c r="AC261" s="239" t="s">
        <v>219</v>
      </c>
      <c r="AD261" s="239" t="s">
        <v>218</v>
      </c>
      <c r="AE261" s="239" t="s">
        <v>219</v>
      </c>
      <c r="AF261" s="250">
        <v>0</v>
      </c>
      <c r="AG261" s="251"/>
      <c r="AH261" s="244"/>
      <c r="AI261" s="250"/>
      <c r="AJ261" s="244"/>
      <c r="AK261" s="243"/>
      <c r="AL261" s="244"/>
    </row>
    <row r="262" spans="1:38" s="83" customFormat="1" ht="32.25" customHeight="1" x14ac:dyDescent="0.3">
      <c r="A262" s="80">
        <v>255</v>
      </c>
      <c r="B262" s="84" t="s">
        <v>196</v>
      </c>
      <c r="C262" s="87" t="s">
        <v>388</v>
      </c>
      <c r="D262" s="240" t="s">
        <v>833</v>
      </c>
      <c r="E262" s="239">
        <v>22</v>
      </c>
      <c r="F262" s="245">
        <v>4</v>
      </c>
      <c r="G262" s="249"/>
      <c r="H262" s="84" t="s">
        <v>869</v>
      </c>
      <c r="I262" s="118" t="s">
        <v>830</v>
      </c>
      <c r="J262" s="239"/>
      <c r="K262" s="249"/>
      <c r="L262" s="118" t="s">
        <v>367</v>
      </c>
      <c r="M262" s="249">
        <v>1966</v>
      </c>
      <c r="N262" s="118" t="s">
        <v>216</v>
      </c>
      <c r="O262" s="239">
        <v>5</v>
      </c>
      <c r="P262" s="239">
        <v>0</v>
      </c>
      <c r="Q262" s="249">
        <v>5</v>
      </c>
      <c r="R262" s="239">
        <v>100</v>
      </c>
      <c r="S262" s="249">
        <v>4520</v>
      </c>
      <c r="T262" s="239"/>
      <c r="U262" s="249">
        <v>4437</v>
      </c>
      <c r="V262" s="239">
        <v>83</v>
      </c>
      <c r="W262" s="118" t="s">
        <v>218</v>
      </c>
      <c r="X262" s="239" t="s">
        <v>218</v>
      </c>
      <c r="Y262" s="239" t="s">
        <v>218</v>
      </c>
      <c r="Z262" s="239" t="s">
        <v>218</v>
      </c>
      <c r="AA262" s="239" t="s">
        <v>218</v>
      </c>
      <c r="AB262" s="239" t="s">
        <v>218</v>
      </c>
      <c r="AC262" s="239" t="s">
        <v>219</v>
      </c>
      <c r="AD262" s="239" t="s">
        <v>218</v>
      </c>
      <c r="AE262" s="239" t="s">
        <v>219</v>
      </c>
      <c r="AF262" s="239">
        <v>0</v>
      </c>
      <c r="AG262" s="245"/>
      <c r="AH262" s="249"/>
      <c r="AI262" s="239"/>
      <c r="AJ262" s="249"/>
      <c r="AK262" s="239"/>
      <c r="AL262" s="245"/>
    </row>
    <row r="263" spans="1:38" s="83" customFormat="1" ht="32.25" customHeight="1" x14ac:dyDescent="0.3">
      <c r="A263" s="5">
        <v>256</v>
      </c>
      <c r="B263" s="84" t="s">
        <v>196</v>
      </c>
      <c r="C263" s="87" t="s">
        <v>388</v>
      </c>
      <c r="D263" s="253" t="s">
        <v>833</v>
      </c>
      <c r="E263" s="243">
        <v>22</v>
      </c>
      <c r="F263" s="251">
        <v>5</v>
      </c>
      <c r="G263" s="254"/>
      <c r="H263" s="84" t="s">
        <v>870</v>
      </c>
      <c r="I263" s="118" t="s">
        <v>830</v>
      </c>
      <c r="J263" s="250"/>
      <c r="K263" s="244"/>
      <c r="L263" s="118" t="s">
        <v>367</v>
      </c>
      <c r="M263" s="244">
        <v>1966</v>
      </c>
      <c r="N263" s="118" t="s">
        <v>216</v>
      </c>
      <c r="O263" s="244">
        <v>5</v>
      </c>
      <c r="P263" s="239">
        <v>0</v>
      </c>
      <c r="Q263" s="244">
        <v>5</v>
      </c>
      <c r="R263" s="250">
        <v>100</v>
      </c>
      <c r="S263" s="244">
        <v>4565</v>
      </c>
      <c r="T263" s="250"/>
      <c r="U263" s="244">
        <v>4513</v>
      </c>
      <c r="V263" s="250">
        <v>52</v>
      </c>
      <c r="W263" s="118" t="s">
        <v>218</v>
      </c>
      <c r="X263" s="239" t="s">
        <v>218</v>
      </c>
      <c r="Y263" s="239" t="s">
        <v>218</v>
      </c>
      <c r="Z263" s="239" t="s">
        <v>218</v>
      </c>
      <c r="AA263" s="239" t="s">
        <v>218</v>
      </c>
      <c r="AB263" s="239" t="s">
        <v>218</v>
      </c>
      <c r="AC263" s="239" t="s">
        <v>219</v>
      </c>
      <c r="AD263" s="239" t="s">
        <v>218</v>
      </c>
      <c r="AE263" s="239" t="s">
        <v>219</v>
      </c>
      <c r="AF263" s="250">
        <v>0</v>
      </c>
      <c r="AG263" s="251"/>
      <c r="AH263" s="244"/>
      <c r="AI263" s="250"/>
      <c r="AJ263" s="244"/>
      <c r="AK263" s="242"/>
      <c r="AL263" s="244"/>
    </row>
    <row r="264" spans="1:38" s="83" customFormat="1" ht="32.25" customHeight="1" x14ac:dyDescent="0.3">
      <c r="A264" s="80">
        <v>257</v>
      </c>
      <c r="B264" s="84" t="s">
        <v>196</v>
      </c>
      <c r="C264" s="87" t="s">
        <v>388</v>
      </c>
      <c r="D264" s="240" t="s">
        <v>833</v>
      </c>
      <c r="E264" s="246">
        <v>32</v>
      </c>
      <c r="F264" s="239">
        <v>2</v>
      </c>
      <c r="G264" s="245"/>
      <c r="H264" s="84" t="s">
        <v>871</v>
      </c>
      <c r="I264" s="118" t="s">
        <v>830</v>
      </c>
      <c r="J264" s="239"/>
      <c r="K264" s="249"/>
      <c r="L264" s="118" t="s">
        <v>367</v>
      </c>
      <c r="M264" s="249">
        <v>1966</v>
      </c>
      <c r="N264" s="118" t="s">
        <v>216</v>
      </c>
      <c r="O264" s="239">
        <v>5</v>
      </c>
      <c r="P264" s="239">
        <v>0</v>
      </c>
      <c r="Q264" s="249">
        <v>5</v>
      </c>
      <c r="R264" s="239">
        <v>100</v>
      </c>
      <c r="S264" s="249">
        <v>4514</v>
      </c>
      <c r="T264" s="239"/>
      <c r="U264" s="249">
        <v>4462</v>
      </c>
      <c r="V264" s="239">
        <v>52</v>
      </c>
      <c r="W264" s="118" t="s">
        <v>218</v>
      </c>
      <c r="X264" s="239" t="s">
        <v>218</v>
      </c>
      <c r="Y264" s="239" t="s">
        <v>218</v>
      </c>
      <c r="Z264" s="239" t="s">
        <v>218</v>
      </c>
      <c r="AA264" s="239" t="s">
        <v>218</v>
      </c>
      <c r="AB264" s="239" t="s">
        <v>218</v>
      </c>
      <c r="AC264" s="239" t="s">
        <v>219</v>
      </c>
      <c r="AD264" s="239" t="s">
        <v>218</v>
      </c>
      <c r="AE264" s="239" t="s">
        <v>219</v>
      </c>
      <c r="AF264" s="239">
        <v>0</v>
      </c>
      <c r="AG264" s="245"/>
      <c r="AH264" s="249"/>
      <c r="AI264" s="239"/>
      <c r="AJ264" s="239"/>
      <c r="AK264" s="249"/>
      <c r="AL264" s="239"/>
    </row>
    <row r="265" spans="1:38" s="83" customFormat="1" ht="32.25" customHeight="1" x14ac:dyDescent="0.3">
      <c r="A265" s="5">
        <v>258</v>
      </c>
      <c r="B265" s="84" t="s">
        <v>196</v>
      </c>
      <c r="C265" s="87" t="s">
        <v>388</v>
      </c>
      <c r="D265" s="253" t="s">
        <v>833</v>
      </c>
      <c r="E265" s="255">
        <v>32</v>
      </c>
      <c r="F265" s="250">
        <v>3</v>
      </c>
      <c r="G265" s="251"/>
      <c r="H265" s="84" t="s">
        <v>872</v>
      </c>
      <c r="I265" s="118" t="s">
        <v>830</v>
      </c>
      <c r="J265" s="250"/>
      <c r="K265" s="244"/>
      <c r="L265" s="118" t="s">
        <v>367</v>
      </c>
      <c r="M265" s="244">
        <v>1966</v>
      </c>
      <c r="N265" s="118" t="s">
        <v>216</v>
      </c>
      <c r="O265" s="244">
        <v>5</v>
      </c>
      <c r="P265" s="239">
        <v>0</v>
      </c>
      <c r="Q265" s="244">
        <v>5</v>
      </c>
      <c r="R265" s="250">
        <v>100</v>
      </c>
      <c r="S265" s="244">
        <v>4562</v>
      </c>
      <c r="T265" s="250"/>
      <c r="U265" s="244">
        <v>4510</v>
      </c>
      <c r="V265" s="250">
        <v>52</v>
      </c>
      <c r="W265" s="118" t="s">
        <v>218</v>
      </c>
      <c r="X265" s="239" t="s">
        <v>218</v>
      </c>
      <c r="Y265" s="239" t="s">
        <v>218</v>
      </c>
      <c r="Z265" s="239" t="s">
        <v>218</v>
      </c>
      <c r="AA265" s="239" t="s">
        <v>218</v>
      </c>
      <c r="AB265" s="239" t="s">
        <v>218</v>
      </c>
      <c r="AC265" s="239" t="s">
        <v>219</v>
      </c>
      <c r="AD265" s="239" t="s">
        <v>218</v>
      </c>
      <c r="AE265" s="239" t="s">
        <v>219</v>
      </c>
      <c r="AF265" s="244">
        <v>0</v>
      </c>
      <c r="AG265" s="243"/>
      <c r="AH265" s="244"/>
      <c r="AI265" s="250"/>
      <c r="AJ265" s="250"/>
      <c r="AK265" s="254"/>
      <c r="AL265" s="256"/>
    </row>
    <row r="266" spans="1:38" s="83" customFormat="1" ht="32.25" customHeight="1" x14ac:dyDescent="0.3">
      <c r="A266" s="80">
        <v>259</v>
      </c>
      <c r="B266" s="84" t="s">
        <v>196</v>
      </c>
      <c r="C266" s="87" t="s">
        <v>388</v>
      </c>
      <c r="D266" s="240" t="s">
        <v>833</v>
      </c>
      <c r="E266" s="246">
        <v>32</v>
      </c>
      <c r="F266" s="239">
        <v>4</v>
      </c>
      <c r="G266" s="245"/>
      <c r="H266" s="84" t="s">
        <v>873</v>
      </c>
      <c r="I266" s="118" t="s">
        <v>830</v>
      </c>
      <c r="J266" s="239"/>
      <c r="K266" s="249"/>
      <c r="L266" s="118" t="s">
        <v>367</v>
      </c>
      <c r="M266" s="249">
        <v>1966</v>
      </c>
      <c r="N266" s="118" t="s">
        <v>216</v>
      </c>
      <c r="O266" s="239">
        <v>5</v>
      </c>
      <c r="P266" s="239">
        <v>0</v>
      </c>
      <c r="Q266" s="249">
        <v>5</v>
      </c>
      <c r="R266" s="239">
        <v>100</v>
      </c>
      <c r="S266" s="249">
        <v>4538</v>
      </c>
      <c r="T266" s="239"/>
      <c r="U266" s="249">
        <v>4486</v>
      </c>
      <c r="V266" s="239">
        <v>52</v>
      </c>
      <c r="W266" s="118" t="s">
        <v>218</v>
      </c>
      <c r="X266" s="239" t="s">
        <v>218</v>
      </c>
      <c r="Y266" s="239" t="s">
        <v>218</v>
      </c>
      <c r="Z266" s="239" t="s">
        <v>218</v>
      </c>
      <c r="AA266" s="239" t="s">
        <v>218</v>
      </c>
      <c r="AB266" s="239" t="s">
        <v>218</v>
      </c>
      <c r="AC266" s="239" t="s">
        <v>219</v>
      </c>
      <c r="AD266" s="239" t="s">
        <v>218</v>
      </c>
      <c r="AE266" s="239" t="s">
        <v>219</v>
      </c>
      <c r="AF266" s="249">
        <v>0</v>
      </c>
      <c r="AG266" s="239"/>
      <c r="AH266" s="249"/>
      <c r="AI266" s="239"/>
      <c r="AJ266" s="239"/>
      <c r="AK266" s="245"/>
      <c r="AL266" s="245"/>
    </row>
    <row r="267" spans="1:38" s="83" customFormat="1" ht="32.25" customHeight="1" x14ac:dyDescent="0.3">
      <c r="A267" s="5">
        <v>260</v>
      </c>
      <c r="B267" s="84" t="s">
        <v>196</v>
      </c>
      <c r="C267" s="87" t="s">
        <v>388</v>
      </c>
      <c r="D267" s="253" t="s">
        <v>834</v>
      </c>
      <c r="E267" s="255">
        <v>100</v>
      </c>
      <c r="F267" s="250"/>
      <c r="G267" s="251"/>
      <c r="H267" s="84" t="s">
        <v>874</v>
      </c>
      <c r="I267" s="118" t="s">
        <v>830</v>
      </c>
      <c r="J267" s="250"/>
      <c r="K267" s="257" t="s">
        <v>835</v>
      </c>
      <c r="L267" s="252"/>
      <c r="M267" s="244">
        <v>1951</v>
      </c>
      <c r="N267" s="118" t="s">
        <v>318</v>
      </c>
      <c r="O267" s="244">
        <v>2</v>
      </c>
      <c r="P267" s="239">
        <v>0</v>
      </c>
      <c r="Q267" s="244">
        <v>1</v>
      </c>
      <c r="R267" s="250">
        <v>8</v>
      </c>
      <c r="S267" s="244">
        <v>577</v>
      </c>
      <c r="T267" s="242"/>
      <c r="U267" s="244">
        <v>447</v>
      </c>
      <c r="V267" s="250">
        <v>130</v>
      </c>
      <c r="W267" s="118" t="s">
        <v>218</v>
      </c>
      <c r="X267" s="239" t="s">
        <v>218</v>
      </c>
      <c r="Y267" s="244" t="s">
        <v>219</v>
      </c>
      <c r="Z267" s="239" t="s">
        <v>218</v>
      </c>
      <c r="AA267" s="239" t="s">
        <v>218</v>
      </c>
      <c r="AB267" s="239" t="s">
        <v>218</v>
      </c>
      <c r="AC267" s="239" t="s">
        <v>218</v>
      </c>
      <c r="AD267" s="239" t="s">
        <v>218</v>
      </c>
      <c r="AE267" s="239" t="s">
        <v>219</v>
      </c>
      <c r="AF267" s="244">
        <v>0</v>
      </c>
      <c r="AG267" s="250"/>
      <c r="AH267" s="244"/>
      <c r="AI267" s="250"/>
      <c r="AJ267" s="250"/>
      <c r="AK267" s="251"/>
      <c r="AL267" s="244"/>
    </row>
    <row r="268" spans="1:38" s="83" customFormat="1" ht="32.25" customHeight="1" x14ac:dyDescent="0.3">
      <c r="A268" s="80">
        <v>261</v>
      </c>
      <c r="B268" s="84" t="s">
        <v>196</v>
      </c>
      <c r="C268" s="87" t="s">
        <v>388</v>
      </c>
      <c r="D268" s="240" t="s">
        <v>834</v>
      </c>
      <c r="E268" s="246">
        <v>106</v>
      </c>
      <c r="F268" s="239"/>
      <c r="G268" s="245"/>
      <c r="H268" s="84" t="s">
        <v>875</v>
      </c>
      <c r="I268" s="118" t="s">
        <v>830</v>
      </c>
      <c r="J268" s="239"/>
      <c r="K268" s="118" t="s">
        <v>835</v>
      </c>
      <c r="L268" s="118"/>
      <c r="M268" s="249">
        <v>1950</v>
      </c>
      <c r="N268" s="252" t="s">
        <v>318</v>
      </c>
      <c r="O268" s="249">
        <v>2</v>
      </c>
      <c r="P268" s="239">
        <v>0</v>
      </c>
      <c r="Q268" s="249">
        <v>1</v>
      </c>
      <c r="R268" s="239">
        <v>8</v>
      </c>
      <c r="S268" s="239">
        <v>572</v>
      </c>
      <c r="T268" s="245"/>
      <c r="U268" s="249">
        <v>442</v>
      </c>
      <c r="V268" s="239">
        <v>130</v>
      </c>
      <c r="W268" s="118" t="s">
        <v>218</v>
      </c>
      <c r="X268" s="239" t="s">
        <v>218</v>
      </c>
      <c r="Y268" s="246" t="s">
        <v>219</v>
      </c>
      <c r="Z268" s="239" t="s">
        <v>218</v>
      </c>
      <c r="AA268" s="239" t="s">
        <v>218</v>
      </c>
      <c r="AB268" s="239" t="s">
        <v>218</v>
      </c>
      <c r="AC268" s="239" t="s">
        <v>218</v>
      </c>
      <c r="AD268" s="239" t="s">
        <v>218</v>
      </c>
      <c r="AE268" s="239" t="s">
        <v>219</v>
      </c>
      <c r="AF268" s="249">
        <v>0</v>
      </c>
      <c r="AG268" s="239"/>
      <c r="AH268" s="249"/>
      <c r="AI268" s="239"/>
      <c r="AJ268" s="239"/>
      <c r="AK268" s="245"/>
      <c r="AL268" s="245"/>
    </row>
    <row r="269" spans="1:38" s="83" customFormat="1" ht="32.25" customHeight="1" x14ac:dyDescent="0.3">
      <c r="A269" s="5">
        <v>262</v>
      </c>
      <c r="B269" s="84" t="s">
        <v>196</v>
      </c>
      <c r="C269" s="87" t="s">
        <v>388</v>
      </c>
      <c r="D269" s="253" t="s">
        <v>834</v>
      </c>
      <c r="E269" s="258">
        <v>110</v>
      </c>
      <c r="F269" s="243"/>
      <c r="G269" s="244"/>
      <c r="H269" s="84" t="s">
        <v>876</v>
      </c>
      <c r="I269" s="118" t="s">
        <v>830</v>
      </c>
      <c r="J269" s="250"/>
      <c r="K269" s="118" t="s">
        <v>835</v>
      </c>
      <c r="L269" s="252"/>
      <c r="M269" s="244">
        <v>1950</v>
      </c>
      <c r="N269" s="118" t="s">
        <v>318</v>
      </c>
      <c r="O269" s="244">
        <v>2</v>
      </c>
      <c r="P269" s="239">
        <v>0</v>
      </c>
      <c r="Q269" s="244">
        <v>1</v>
      </c>
      <c r="R269" s="250">
        <v>8</v>
      </c>
      <c r="S269" s="250">
        <v>574</v>
      </c>
      <c r="T269" s="251"/>
      <c r="U269" s="244">
        <v>447</v>
      </c>
      <c r="V269" s="250">
        <v>127</v>
      </c>
      <c r="W269" s="118" t="s">
        <v>218</v>
      </c>
      <c r="X269" s="239" t="s">
        <v>218</v>
      </c>
      <c r="Y269" s="244" t="s">
        <v>219</v>
      </c>
      <c r="Z269" s="239" t="s">
        <v>218</v>
      </c>
      <c r="AA269" s="239" t="s">
        <v>218</v>
      </c>
      <c r="AB269" s="239" t="s">
        <v>218</v>
      </c>
      <c r="AC269" s="239" t="s">
        <v>218</v>
      </c>
      <c r="AD269" s="239" t="s">
        <v>218</v>
      </c>
      <c r="AE269" s="239" t="s">
        <v>219</v>
      </c>
      <c r="AF269" s="244">
        <v>0</v>
      </c>
      <c r="AG269" s="250"/>
      <c r="AH269" s="244"/>
      <c r="AI269" s="250"/>
      <c r="AJ269" s="243"/>
      <c r="AK269" s="244"/>
      <c r="AL269" s="239"/>
    </row>
    <row r="270" spans="1:38" s="83" customFormat="1" ht="32.25" customHeight="1" x14ac:dyDescent="0.3">
      <c r="A270" s="80">
        <v>263</v>
      </c>
      <c r="B270" s="84" t="s">
        <v>196</v>
      </c>
      <c r="C270" s="87" t="s">
        <v>388</v>
      </c>
      <c r="D270" s="240" t="s">
        <v>834</v>
      </c>
      <c r="E270" s="246">
        <v>114</v>
      </c>
      <c r="F270" s="239"/>
      <c r="G270" s="249"/>
      <c r="H270" s="84" t="s">
        <v>877</v>
      </c>
      <c r="I270" s="118" t="s">
        <v>830</v>
      </c>
      <c r="J270" s="239"/>
      <c r="K270" s="118" t="s">
        <v>835</v>
      </c>
      <c r="L270" s="118"/>
      <c r="M270" s="249">
        <v>1951</v>
      </c>
      <c r="N270" s="252" t="s">
        <v>318</v>
      </c>
      <c r="O270" s="249">
        <v>2</v>
      </c>
      <c r="P270" s="239">
        <v>0</v>
      </c>
      <c r="Q270" s="249">
        <v>1</v>
      </c>
      <c r="R270" s="239">
        <v>8</v>
      </c>
      <c r="S270" s="239">
        <v>576</v>
      </c>
      <c r="T270" s="245"/>
      <c r="U270" s="249">
        <v>443</v>
      </c>
      <c r="V270" s="239">
        <v>133</v>
      </c>
      <c r="W270" s="118" t="s">
        <v>218</v>
      </c>
      <c r="X270" s="239" t="s">
        <v>218</v>
      </c>
      <c r="Y270" s="239" t="s">
        <v>219</v>
      </c>
      <c r="Z270" s="239" t="s">
        <v>218</v>
      </c>
      <c r="AA270" s="239" t="s">
        <v>218</v>
      </c>
      <c r="AB270" s="239" t="s">
        <v>218</v>
      </c>
      <c r="AC270" s="239" t="s">
        <v>218</v>
      </c>
      <c r="AD270" s="239" t="s">
        <v>218</v>
      </c>
      <c r="AE270" s="239" t="s">
        <v>219</v>
      </c>
      <c r="AF270" s="249">
        <v>0</v>
      </c>
      <c r="AG270" s="239"/>
      <c r="AH270" s="249"/>
      <c r="AI270" s="239"/>
      <c r="AJ270" s="239"/>
      <c r="AK270" s="249"/>
      <c r="AL270" s="239"/>
    </row>
    <row r="271" spans="1:38" s="83" customFormat="1" ht="32.25" customHeight="1" x14ac:dyDescent="0.3">
      <c r="A271" s="5">
        <v>264</v>
      </c>
      <c r="B271" s="84" t="s">
        <v>196</v>
      </c>
      <c r="C271" s="87" t="s">
        <v>388</v>
      </c>
      <c r="D271" s="253" t="s">
        <v>834</v>
      </c>
      <c r="E271" s="259">
        <v>116</v>
      </c>
      <c r="F271" s="242"/>
      <c r="G271" s="260"/>
      <c r="H271" s="84" t="s">
        <v>878</v>
      </c>
      <c r="I271" s="118" t="s">
        <v>830</v>
      </c>
      <c r="J271" s="242"/>
      <c r="K271" s="261" t="s">
        <v>835</v>
      </c>
      <c r="L271" s="261"/>
      <c r="M271" s="260">
        <v>1951</v>
      </c>
      <c r="N271" s="118" t="s">
        <v>318</v>
      </c>
      <c r="O271" s="260">
        <v>2</v>
      </c>
      <c r="P271" s="239">
        <v>0</v>
      </c>
      <c r="Q271" s="260">
        <v>1</v>
      </c>
      <c r="R271" s="242">
        <v>8</v>
      </c>
      <c r="S271" s="242">
        <v>574</v>
      </c>
      <c r="T271" s="256"/>
      <c r="U271" s="260">
        <v>443</v>
      </c>
      <c r="V271" s="242">
        <v>131</v>
      </c>
      <c r="W271" s="118" t="s">
        <v>218</v>
      </c>
      <c r="X271" s="239" t="s">
        <v>218</v>
      </c>
      <c r="Y271" s="239" t="s">
        <v>219</v>
      </c>
      <c r="Z271" s="239" t="s">
        <v>218</v>
      </c>
      <c r="AA271" s="239" t="s">
        <v>218</v>
      </c>
      <c r="AB271" s="239" t="s">
        <v>218</v>
      </c>
      <c r="AC271" s="239" t="s">
        <v>218</v>
      </c>
      <c r="AD271" s="239" t="s">
        <v>218</v>
      </c>
      <c r="AE271" s="239" t="s">
        <v>219</v>
      </c>
      <c r="AF271" s="260">
        <v>0</v>
      </c>
      <c r="AG271" s="239"/>
      <c r="AH271" s="260"/>
      <c r="AI271" s="242"/>
      <c r="AJ271" s="242"/>
      <c r="AK271" s="260"/>
      <c r="AL271" s="242"/>
    </row>
    <row r="272" spans="1:38" s="83" customFormat="1" ht="32.25" customHeight="1" x14ac:dyDescent="0.3">
      <c r="A272" s="80">
        <v>265</v>
      </c>
      <c r="B272" s="84" t="s">
        <v>196</v>
      </c>
      <c r="C272" s="87" t="s">
        <v>388</v>
      </c>
      <c r="D272" s="240" t="s">
        <v>834</v>
      </c>
      <c r="E272" s="255">
        <v>56</v>
      </c>
      <c r="F272" s="250"/>
      <c r="G272" s="244"/>
      <c r="H272" s="84" t="s">
        <v>879</v>
      </c>
      <c r="I272" s="118" t="s">
        <v>830</v>
      </c>
      <c r="J272" s="250"/>
      <c r="K272" s="257" t="s">
        <v>835</v>
      </c>
      <c r="L272" s="252"/>
      <c r="M272" s="244">
        <v>1960</v>
      </c>
      <c r="N272" s="118" t="s">
        <v>318</v>
      </c>
      <c r="O272" s="244">
        <v>3</v>
      </c>
      <c r="P272" s="239">
        <v>0</v>
      </c>
      <c r="Q272" s="244">
        <v>3</v>
      </c>
      <c r="R272" s="250">
        <v>27</v>
      </c>
      <c r="S272" s="250">
        <v>1717</v>
      </c>
      <c r="T272" s="251"/>
      <c r="U272" s="244">
        <v>1456</v>
      </c>
      <c r="V272" s="250">
        <v>261</v>
      </c>
      <c r="W272" s="118" t="s">
        <v>218</v>
      </c>
      <c r="X272" s="239" t="s">
        <v>218</v>
      </c>
      <c r="Y272" s="244" t="s">
        <v>219</v>
      </c>
      <c r="Z272" s="239" t="s">
        <v>218</v>
      </c>
      <c r="AA272" s="239" t="s">
        <v>218</v>
      </c>
      <c r="AB272" s="239" t="s">
        <v>218</v>
      </c>
      <c r="AC272" s="239" t="s">
        <v>218</v>
      </c>
      <c r="AD272" s="239" t="s">
        <v>218</v>
      </c>
      <c r="AE272" s="239" t="s">
        <v>219</v>
      </c>
      <c r="AF272" s="244">
        <v>0</v>
      </c>
      <c r="AG272" s="250"/>
      <c r="AH272" s="244"/>
      <c r="AI272" s="250"/>
      <c r="AJ272" s="243"/>
      <c r="AK272" s="244"/>
      <c r="AL272" s="242"/>
    </row>
    <row r="273" spans="1:38" s="83" customFormat="1" ht="32.25" customHeight="1" x14ac:dyDescent="0.3">
      <c r="A273" s="5">
        <v>266</v>
      </c>
      <c r="B273" s="84" t="s">
        <v>196</v>
      </c>
      <c r="C273" s="87" t="s">
        <v>388</v>
      </c>
      <c r="D273" s="253" t="s">
        <v>834</v>
      </c>
      <c r="E273" s="246">
        <v>58</v>
      </c>
      <c r="F273" s="239"/>
      <c r="G273" s="249"/>
      <c r="H273" s="84" t="s">
        <v>880</v>
      </c>
      <c r="I273" s="118" t="s">
        <v>830</v>
      </c>
      <c r="J273" s="239"/>
      <c r="K273" s="118" t="s">
        <v>835</v>
      </c>
      <c r="L273" s="118"/>
      <c r="M273" s="249">
        <v>1961</v>
      </c>
      <c r="N273" s="252" t="s">
        <v>318</v>
      </c>
      <c r="O273" s="249">
        <v>4</v>
      </c>
      <c r="P273" s="239">
        <v>0</v>
      </c>
      <c r="Q273" s="249">
        <v>3</v>
      </c>
      <c r="R273" s="239">
        <v>48</v>
      </c>
      <c r="S273" s="239">
        <v>1992</v>
      </c>
      <c r="T273" s="245"/>
      <c r="U273" s="249">
        <v>1992</v>
      </c>
      <c r="V273" s="239">
        <v>0</v>
      </c>
      <c r="W273" s="118" t="s">
        <v>218</v>
      </c>
      <c r="X273" s="239" t="s">
        <v>218</v>
      </c>
      <c r="Y273" s="239" t="s">
        <v>219</v>
      </c>
      <c r="Z273" s="239" t="s">
        <v>218</v>
      </c>
      <c r="AA273" s="239" t="s">
        <v>218</v>
      </c>
      <c r="AB273" s="239" t="s">
        <v>218</v>
      </c>
      <c r="AC273" s="239" t="s">
        <v>218</v>
      </c>
      <c r="AD273" s="239" t="s">
        <v>218</v>
      </c>
      <c r="AE273" s="239" t="s">
        <v>219</v>
      </c>
      <c r="AF273" s="249">
        <v>0</v>
      </c>
      <c r="AG273" s="239"/>
      <c r="AH273" s="249"/>
      <c r="AI273" s="239"/>
      <c r="AJ273" s="239"/>
      <c r="AK273" s="245"/>
      <c r="AL273" s="245"/>
    </row>
    <row r="274" spans="1:38" s="83" customFormat="1" ht="32.25" customHeight="1" x14ac:dyDescent="0.3">
      <c r="A274" s="80">
        <v>267</v>
      </c>
      <c r="B274" s="84" t="s">
        <v>196</v>
      </c>
      <c r="C274" s="87" t="s">
        <v>388</v>
      </c>
      <c r="D274" s="240" t="s">
        <v>834</v>
      </c>
      <c r="E274" s="259">
        <v>60</v>
      </c>
      <c r="F274" s="242"/>
      <c r="G274" s="244"/>
      <c r="H274" s="84" t="s">
        <v>881</v>
      </c>
      <c r="I274" s="118" t="s">
        <v>830</v>
      </c>
      <c r="J274" s="250"/>
      <c r="K274" s="262" t="s">
        <v>835</v>
      </c>
      <c r="L274" s="261"/>
      <c r="M274" s="244">
        <v>1953</v>
      </c>
      <c r="N274" s="118" t="s">
        <v>318</v>
      </c>
      <c r="O274" s="244">
        <v>4</v>
      </c>
      <c r="P274" s="239">
        <v>0</v>
      </c>
      <c r="Q274" s="244">
        <v>2</v>
      </c>
      <c r="R274" s="250">
        <v>15</v>
      </c>
      <c r="S274" s="243">
        <v>1509</v>
      </c>
      <c r="T274" s="254"/>
      <c r="U274" s="244">
        <v>1183</v>
      </c>
      <c r="V274" s="250">
        <v>329</v>
      </c>
      <c r="W274" s="118" t="s">
        <v>218</v>
      </c>
      <c r="X274" s="239" t="s">
        <v>218</v>
      </c>
      <c r="Y274" s="244" t="s">
        <v>219</v>
      </c>
      <c r="Z274" s="239" t="s">
        <v>218</v>
      </c>
      <c r="AA274" s="239" t="s">
        <v>218</v>
      </c>
      <c r="AB274" s="239" t="s">
        <v>218</v>
      </c>
      <c r="AC274" s="239" t="s">
        <v>218</v>
      </c>
      <c r="AD274" s="239" t="s">
        <v>218</v>
      </c>
      <c r="AE274" s="239" t="s">
        <v>219</v>
      </c>
      <c r="AF274" s="244">
        <v>0</v>
      </c>
      <c r="AG274" s="250"/>
      <c r="AH274" s="244"/>
      <c r="AI274" s="250"/>
      <c r="AJ274" s="250"/>
      <c r="AK274" s="251"/>
      <c r="AL274" s="244"/>
    </row>
    <row r="275" spans="1:38" s="83" customFormat="1" ht="32.25" customHeight="1" x14ac:dyDescent="0.3">
      <c r="A275" s="5">
        <v>268</v>
      </c>
      <c r="B275" s="84" t="s">
        <v>196</v>
      </c>
      <c r="C275" s="87" t="s">
        <v>388</v>
      </c>
      <c r="D275" s="253" t="s">
        <v>834</v>
      </c>
      <c r="E275" s="246">
        <v>66</v>
      </c>
      <c r="F275" s="239"/>
      <c r="G275" s="249"/>
      <c r="H275" s="84" t="s">
        <v>882</v>
      </c>
      <c r="I275" s="118" t="s">
        <v>830</v>
      </c>
      <c r="J275" s="239"/>
      <c r="K275" s="257" t="s">
        <v>835</v>
      </c>
      <c r="L275" s="261"/>
      <c r="M275" s="249">
        <v>1952</v>
      </c>
      <c r="N275" s="118" t="s">
        <v>318</v>
      </c>
      <c r="O275" s="249">
        <v>4</v>
      </c>
      <c r="P275" s="239">
        <v>0</v>
      </c>
      <c r="Q275" s="249">
        <v>2</v>
      </c>
      <c r="R275" s="239">
        <v>13</v>
      </c>
      <c r="S275" s="239">
        <v>1534</v>
      </c>
      <c r="T275" s="245"/>
      <c r="U275" s="249">
        <v>1032</v>
      </c>
      <c r="V275" s="239">
        <v>502</v>
      </c>
      <c r="W275" s="118" t="s">
        <v>218</v>
      </c>
      <c r="X275" s="239" t="s">
        <v>218</v>
      </c>
      <c r="Y275" s="244" t="s">
        <v>219</v>
      </c>
      <c r="Z275" s="239" t="s">
        <v>218</v>
      </c>
      <c r="AA275" s="239" t="s">
        <v>218</v>
      </c>
      <c r="AB275" s="239" t="s">
        <v>218</v>
      </c>
      <c r="AC275" s="239" t="s">
        <v>218</v>
      </c>
      <c r="AD275" s="239" t="s">
        <v>218</v>
      </c>
      <c r="AE275" s="239" t="s">
        <v>219</v>
      </c>
      <c r="AF275" s="249">
        <v>0</v>
      </c>
      <c r="AG275" s="239"/>
      <c r="AH275" s="249"/>
      <c r="AI275" s="239"/>
      <c r="AJ275" s="239"/>
      <c r="AK275" s="245"/>
      <c r="AL275" s="245"/>
    </row>
    <row r="276" spans="1:38" s="83" customFormat="1" ht="32.25" customHeight="1" x14ac:dyDescent="0.3">
      <c r="A276" s="80">
        <v>269</v>
      </c>
      <c r="B276" s="84" t="s">
        <v>196</v>
      </c>
      <c r="C276" s="87" t="s">
        <v>388</v>
      </c>
      <c r="D276" s="240" t="s">
        <v>834</v>
      </c>
      <c r="E276" s="255">
        <v>68</v>
      </c>
      <c r="F276" s="250"/>
      <c r="G276" s="244"/>
      <c r="H276" s="84" t="s">
        <v>883</v>
      </c>
      <c r="I276" s="118" t="s">
        <v>830</v>
      </c>
      <c r="J276" s="250"/>
      <c r="K276" s="257" t="s">
        <v>835</v>
      </c>
      <c r="L276" s="252"/>
      <c r="M276" s="244">
        <v>1953</v>
      </c>
      <c r="N276" s="252" t="s">
        <v>318</v>
      </c>
      <c r="O276" s="244">
        <v>4</v>
      </c>
      <c r="P276" s="239">
        <v>0</v>
      </c>
      <c r="Q276" s="244">
        <v>2</v>
      </c>
      <c r="R276" s="250">
        <v>16</v>
      </c>
      <c r="S276" s="250">
        <v>1282</v>
      </c>
      <c r="T276" s="251"/>
      <c r="U276" s="244">
        <v>1034</v>
      </c>
      <c r="V276" s="250">
        <v>248</v>
      </c>
      <c r="W276" s="118" t="s">
        <v>218</v>
      </c>
      <c r="X276" s="239" t="s">
        <v>218</v>
      </c>
      <c r="Y276" s="246" t="s">
        <v>219</v>
      </c>
      <c r="Z276" s="239" t="s">
        <v>218</v>
      </c>
      <c r="AA276" s="239" t="s">
        <v>218</v>
      </c>
      <c r="AB276" s="239" t="s">
        <v>218</v>
      </c>
      <c r="AC276" s="239" t="s">
        <v>218</v>
      </c>
      <c r="AD276" s="239" t="s">
        <v>218</v>
      </c>
      <c r="AE276" s="239" t="s">
        <v>219</v>
      </c>
      <c r="AF276" s="244">
        <v>0</v>
      </c>
      <c r="AG276" s="250"/>
      <c r="AH276" s="244"/>
      <c r="AI276" s="250"/>
      <c r="AJ276" s="250"/>
      <c r="AK276" s="251"/>
      <c r="AL276" s="244"/>
    </row>
    <row r="277" spans="1:38" s="83" customFormat="1" ht="32.25" customHeight="1" x14ac:dyDescent="0.3">
      <c r="A277" s="5">
        <v>270</v>
      </c>
      <c r="B277" s="84" t="s">
        <v>196</v>
      </c>
      <c r="C277" s="87" t="s">
        <v>388</v>
      </c>
      <c r="D277" s="253" t="s">
        <v>834</v>
      </c>
      <c r="E277" s="246">
        <v>72</v>
      </c>
      <c r="F277" s="239"/>
      <c r="G277" s="249"/>
      <c r="H277" s="84" t="s">
        <v>884</v>
      </c>
      <c r="I277" s="118" t="s">
        <v>830</v>
      </c>
      <c r="J277" s="239"/>
      <c r="K277" s="257" t="s">
        <v>835</v>
      </c>
      <c r="L277" s="118"/>
      <c r="M277" s="246">
        <v>1962</v>
      </c>
      <c r="N277" s="118" t="s">
        <v>318</v>
      </c>
      <c r="O277" s="239">
        <v>5</v>
      </c>
      <c r="P277" s="239">
        <v>0</v>
      </c>
      <c r="Q277" s="249">
        <v>3</v>
      </c>
      <c r="R277" s="239">
        <v>60</v>
      </c>
      <c r="S277" s="239">
        <v>2518</v>
      </c>
      <c r="T277" s="245"/>
      <c r="U277" s="249">
        <v>2502</v>
      </c>
      <c r="V277" s="239">
        <v>16</v>
      </c>
      <c r="W277" s="118" t="s">
        <v>218</v>
      </c>
      <c r="X277" s="239" t="s">
        <v>218</v>
      </c>
      <c r="Y277" s="244" t="s">
        <v>219</v>
      </c>
      <c r="Z277" s="239" t="s">
        <v>218</v>
      </c>
      <c r="AA277" s="239" t="s">
        <v>218</v>
      </c>
      <c r="AB277" s="239" t="s">
        <v>218</v>
      </c>
      <c r="AC277" s="239" t="s">
        <v>218</v>
      </c>
      <c r="AD277" s="239" t="s">
        <v>218</v>
      </c>
      <c r="AE277" s="239" t="s">
        <v>219</v>
      </c>
      <c r="AF277" s="249">
        <v>0</v>
      </c>
      <c r="AG277" s="239"/>
      <c r="AH277" s="249"/>
      <c r="AI277" s="239"/>
      <c r="AJ277" s="239"/>
      <c r="AK277" s="245"/>
      <c r="AL277" s="245"/>
    </row>
    <row r="278" spans="1:38" s="83" customFormat="1" ht="32.25" customHeight="1" x14ac:dyDescent="0.3">
      <c r="A278" s="80">
        <v>271</v>
      </c>
      <c r="B278" s="84" t="s">
        <v>196</v>
      </c>
      <c r="C278" s="87" t="s">
        <v>388</v>
      </c>
      <c r="D278" s="240" t="s">
        <v>834</v>
      </c>
      <c r="E278" s="246">
        <v>74</v>
      </c>
      <c r="F278" s="239"/>
      <c r="G278" s="249"/>
      <c r="H278" s="84" t="s">
        <v>885</v>
      </c>
      <c r="I278" s="118" t="s">
        <v>830</v>
      </c>
      <c r="J278" s="239"/>
      <c r="K278" s="118" t="s">
        <v>835</v>
      </c>
      <c r="L278" s="118"/>
      <c r="M278" s="249">
        <v>1962</v>
      </c>
      <c r="N278" s="118" t="s">
        <v>318</v>
      </c>
      <c r="O278" s="246">
        <v>5</v>
      </c>
      <c r="P278" s="239">
        <v>0</v>
      </c>
      <c r="Q278" s="249">
        <v>3</v>
      </c>
      <c r="R278" s="239">
        <v>54</v>
      </c>
      <c r="S278" s="239">
        <v>2573</v>
      </c>
      <c r="T278" s="245"/>
      <c r="U278" s="249">
        <v>2404</v>
      </c>
      <c r="V278" s="239">
        <v>169</v>
      </c>
      <c r="W278" s="118" t="s">
        <v>218</v>
      </c>
      <c r="X278" s="239" t="s">
        <v>218</v>
      </c>
      <c r="Y278" s="239" t="s">
        <v>219</v>
      </c>
      <c r="Z278" s="239" t="s">
        <v>218</v>
      </c>
      <c r="AA278" s="239" t="s">
        <v>218</v>
      </c>
      <c r="AB278" s="239" t="s">
        <v>218</v>
      </c>
      <c r="AC278" s="239" t="s">
        <v>218</v>
      </c>
      <c r="AD278" s="239" t="s">
        <v>218</v>
      </c>
      <c r="AE278" s="239" t="s">
        <v>219</v>
      </c>
      <c r="AF278" s="249">
        <v>0</v>
      </c>
      <c r="AG278" s="239"/>
      <c r="AH278" s="249"/>
      <c r="AI278" s="239"/>
      <c r="AJ278" s="239"/>
      <c r="AK278" s="245"/>
      <c r="AL278" s="245"/>
    </row>
    <row r="279" spans="1:38" s="83" customFormat="1" ht="32.25" customHeight="1" x14ac:dyDescent="0.3">
      <c r="A279" s="5">
        <v>272</v>
      </c>
      <c r="B279" s="84" t="s">
        <v>196</v>
      </c>
      <c r="C279" s="81"/>
      <c r="D279" s="263" t="s">
        <v>1353</v>
      </c>
      <c r="E279" s="239">
        <v>11</v>
      </c>
      <c r="F279" s="239">
        <v>1</v>
      </c>
      <c r="G279" s="239" t="s">
        <v>245</v>
      </c>
      <c r="H279" s="84" t="s">
        <v>964</v>
      </c>
      <c r="I279" s="239" t="s">
        <v>886</v>
      </c>
      <c r="J279" s="239" t="s">
        <v>887</v>
      </c>
      <c r="K279" s="118" t="s">
        <v>888</v>
      </c>
      <c r="L279" s="239"/>
      <c r="M279" s="265">
        <v>1965</v>
      </c>
      <c r="N279" s="239" t="s">
        <v>889</v>
      </c>
      <c r="O279" s="265">
        <v>5</v>
      </c>
      <c r="P279" s="239">
        <v>0</v>
      </c>
      <c r="Q279" s="265">
        <v>6</v>
      </c>
      <c r="R279" s="239">
        <v>90</v>
      </c>
      <c r="S279" s="266">
        <f>T279</f>
        <v>4057.6</v>
      </c>
      <c r="T279" s="267">
        <v>4057.6</v>
      </c>
      <c r="U279" s="267">
        <v>4003.1</v>
      </c>
      <c r="V279" s="267">
        <v>0</v>
      </c>
      <c r="W279" s="268" t="s">
        <v>218</v>
      </c>
      <c r="X279" s="268" t="s">
        <v>218</v>
      </c>
      <c r="Y279" s="269" t="s">
        <v>218</v>
      </c>
      <c r="Z279" s="270" t="s">
        <v>218</v>
      </c>
      <c r="AA279" s="268" t="s">
        <v>218</v>
      </c>
      <c r="AB279" s="268" t="s">
        <v>218</v>
      </c>
      <c r="AC279" s="269" t="s">
        <v>219</v>
      </c>
      <c r="AD279" s="268" t="s">
        <v>218</v>
      </c>
      <c r="AE279" s="269" t="s">
        <v>219</v>
      </c>
      <c r="AF279" s="268">
        <v>0</v>
      </c>
      <c r="AG279" s="239">
        <v>1</v>
      </c>
      <c r="AH279" s="239"/>
      <c r="AI279" s="239">
        <v>1</v>
      </c>
      <c r="AJ279" s="239">
        <v>1</v>
      </c>
      <c r="AK279" s="81"/>
      <c r="AL279" s="81"/>
    </row>
    <row r="280" spans="1:38" s="83" customFormat="1" ht="32.25" customHeight="1" x14ac:dyDescent="0.3">
      <c r="A280" s="80">
        <v>273</v>
      </c>
      <c r="B280" s="84" t="s">
        <v>196</v>
      </c>
      <c r="C280" s="81"/>
      <c r="D280" s="263" t="s">
        <v>1353</v>
      </c>
      <c r="E280" s="239">
        <v>13</v>
      </c>
      <c r="F280" s="239">
        <v>1</v>
      </c>
      <c r="G280" s="239" t="s">
        <v>245</v>
      </c>
      <c r="H280" s="84" t="s">
        <v>965</v>
      </c>
      <c r="I280" s="239" t="s">
        <v>886</v>
      </c>
      <c r="J280" s="239" t="s">
        <v>887</v>
      </c>
      <c r="K280" s="118" t="s">
        <v>890</v>
      </c>
      <c r="L280" s="239"/>
      <c r="M280" s="265">
        <v>1965</v>
      </c>
      <c r="N280" s="239" t="s">
        <v>889</v>
      </c>
      <c r="O280" s="265">
        <v>5</v>
      </c>
      <c r="P280" s="239">
        <v>0</v>
      </c>
      <c r="Q280" s="265">
        <v>6</v>
      </c>
      <c r="R280" s="239">
        <v>90</v>
      </c>
      <c r="S280" s="266">
        <f t="shared" ref="S280:S343" si="9">T280</f>
        <v>4073.4</v>
      </c>
      <c r="T280" s="267">
        <v>4073.4</v>
      </c>
      <c r="U280" s="267">
        <v>4026.6</v>
      </c>
      <c r="V280" s="267">
        <v>0</v>
      </c>
      <c r="W280" s="268" t="s">
        <v>218</v>
      </c>
      <c r="X280" s="268" t="s">
        <v>218</v>
      </c>
      <c r="Y280" s="269" t="s">
        <v>218</v>
      </c>
      <c r="Z280" s="270" t="s">
        <v>218</v>
      </c>
      <c r="AA280" s="268" t="s">
        <v>218</v>
      </c>
      <c r="AB280" s="268" t="s">
        <v>218</v>
      </c>
      <c r="AC280" s="269" t="s">
        <v>219</v>
      </c>
      <c r="AD280" s="268" t="s">
        <v>218</v>
      </c>
      <c r="AE280" s="269" t="s">
        <v>219</v>
      </c>
      <c r="AF280" s="268">
        <v>0</v>
      </c>
      <c r="AG280" s="239">
        <v>1</v>
      </c>
      <c r="AH280" s="239"/>
      <c r="AI280" s="239">
        <v>1</v>
      </c>
      <c r="AJ280" s="239">
        <v>1</v>
      </c>
      <c r="AK280" s="81"/>
      <c r="AL280" s="81"/>
    </row>
    <row r="281" spans="1:38" s="83" customFormat="1" ht="32.25" customHeight="1" x14ac:dyDescent="0.3">
      <c r="A281" s="5">
        <v>274</v>
      </c>
      <c r="B281" s="84" t="s">
        <v>196</v>
      </c>
      <c r="C281" s="81"/>
      <c r="D281" s="263" t="s">
        <v>1353</v>
      </c>
      <c r="E281" s="239">
        <v>15</v>
      </c>
      <c r="F281" s="239">
        <v>1</v>
      </c>
      <c r="G281" s="239" t="s">
        <v>245</v>
      </c>
      <c r="H281" s="84" t="s">
        <v>966</v>
      </c>
      <c r="I281" s="239" t="s">
        <v>886</v>
      </c>
      <c r="J281" s="239" t="s">
        <v>216</v>
      </c>
      <c r="K281" s="118" t="s">
        <v>891</v>
      </c>
      <c r="L281" s="239"/>
      <c r="M281" s="265">
        <v>1972</v>
      </c>
      <c r="N281" s="239" t="s">
        <v>889</v>
      </c>
      <c r="O281" s="265">
        <v>9</v>
      </c>
      <c r="P281" s="239">
        <v>0</v>
      </c>
      <c r="Q281" s="265">
        <v>5</v>
      </c>
      <c r="R281" s="239">
        <v>179</v>
      </c>
      <c r="S281" s="266">
        <f t="shared" si="9"/>
        <v>9785.5</v>
      </c>
      <c r="T281" s="267">
        <v>9785.5</v>
      </c>
      <c r="U281" s="267">
        <v>9724.4</v>
      </c>
      <c r="V281" s="267">
        <v>0</v>
      </c>
      <c r="W281" s="268" t="s">
        <v>218</v>
      </c>
      <c r="X281" s="268" t="s">
        <v>218</v>
      </c>
      <c r="Y281" s="269" t="s">
        <v>218</v>
      </c>
      <c r="Z281" s="270" t="s">
        <v>218</v>
      </c>
      <c r="AA281" s="268" t="s">
        <v>218</v>
      </c>
      <c r="AB281" s="268" t="s">
        <v>218</v>
      </c>
      <c r="AC281" s="269" t="s">
        <v>219</v>
      </c>
      <c r="AD281" s="268" t="s">
        <v>218</v>
      </c>
      <c r="AE281" s="269" t="s">
        <v>219</v>
      </c>
      <c r="AF281" s="268">
        <v>5</v>
      </c>
      <c r="AG281" s="239">
        <v>2</v>
      </c>
      <c r="AH281" s="239"/>
      <c r="AI281" s="239">
        <v>1</v>
      </c>
      <c r="AJ281" s="239">
        <v>1</v>
      </c>
      <c r="AK281" s="81"/>
      <c r="AL281" s="81"/>
    </row>
    <row r="282" spans="1:38" s="83" customFormat="1" ht="32.25" customHeight="1" x14ac:dyDescent="0.3">
      <c r="A282" s="80">
        <v>275</v>
      </c>
      <c r="B282" s="84" t="s">
        <v>196</v>
      </c>
      <c r="C282" s="81"/>
      <c r="D282" s="263" t="s">
        <v>1353</v>
      </c>
      <c r="E282" s="239">
        <v>17</v>
      </c>
      <c r="F282" s="239"/>
      <c r="G282" s="239" t="s">
        <v>245</v>
      </c>
      <c r="H282" s="84" t="s">
        <v>967</v>
      </c>
      <c r="I282" s="239" t="s">
        <v>886</v>
      </c>
      <c r="J282" s="239" t="s">
        <v>887</v>
      </c>
      <c r="K282" s="118" t="s">
        <v>890</v>
      </c>
      <c r="L282" s="239"/>
      <c r="M282" s="265">
        <v>1965</v>
      </c>
      <c r="N282" s="239" t="s">
        <v>889</v>
      </c>
      <c r="O282" s="265">
        <v>5</v>
      </c>
      <c r="P282" s="239">
        <v>0</v>
      </c>
      <c r="Q282" s="265">
        <v>6</v>
      </c>
      <c r="R282" s="239">
        <v>90</v>
      </c>
      <c r="S282" s="266">
        <f t="shared" si="9"/>
        <v>4081.7</v>
      </c>
      <c r="T282" s="267">
        <v>4081.7</v>
      </c>
      <c r="U282" s="267">
        <v>4026.9</v>
      </c>
      <c r="V282" s="267">
        <v>0</v>
      </c>
      <c r="W282" s="268" t="s">
        <v>218</v>
      </c>
      <c r="X282" s="268" t="s">
        <v>218</v>
      </c>
      <c r="Y282" s="269" t="s">
        <v>218</v>
      </c>
      <c r="Z282" s="270" t="s">
        <v>218</v>
      </c>
      <c r="AA282" s="268" t="s">
        <v>218</v>
      </c>
      <c r="AB282" s="268" t="s">
        <v>218</v>
      </c>
      <c r="AC282" s="269" t="s">
        <v>219</v>
      </c>
      <c r="AD282" s="268" t="s">
        <v>218</v>
      </c>
      <c r="AE282" s="269" t="s">
        <v>219</v>
      </c>
      <c r="AF282" s="268">
        <v>0</v>
      </c>
      <c r="AG282" s="239">
        <v>1</v>
      </c>
      <c r="AH282" s="239"/>
      <c r="AI282" s="239">
        <v>1</v>
      </c>
      <c r="AJ282" s="239">
        <v>1</v>
      </c>
      <c r="AK282" s="81"/>
      <c r="AL282" s="81"/>
    </row>
    <row r="283" spans="1:38" s="83" customFormat="1" ht="32.25" customHeight="1" x14ac:dyDescent="0.3">
      <c r="A283" s="5">
        <v>276</v>
      </c>
      <c r="B283" s="84" t="s">
        <v>196</v>
      </c>
      <c r="C283" s="81"/>
      <c r="D283" s="263" t="s">
        <v>1353</v>
      </c>
      <c r="E283" s="239">
        <v>19</v>
      </c>
      <c r="F283" s="239">
        <v>1</v>
      </c>
      <c r="G283" s="239" t="s">
        <v>245</v>
      </c>
      <c r="H283" s="84" t="s">
        <v>968</v>
      </c>
      <c r="I283" s="239" t="s">
        <v>886</v>
      </c>
      <c r="J283" s="239" t="s">
        <v>887</v>
      </c>
      <c r="K283" s="118" t="s">
        <v>890</v>
      </c>
      <c r="L283" s="239"/>
      <c r="M283" s="265">
        <v>1965</v>
      </c>
      <c r="N283" s="239" t="s">
        <v>889</v>
      </c>
      <c r="O283" s="265">
        <v>5</v>
      </c>
      <c r="P283" s="239">
        <v>0</v>
      </c>
      <c r="Q283" s="265">
        <v>6</v>
      </c>
      <c r="R283" s="239">
        <v>90</v>
      </c>
      <c r="S283" s="266">
        <f t="shared" si="9"/>
        <v>4070.4</v>
      </c>
      <c r="T283" s="267">
        <v>4070.4</v>
      </c>
      <c r="U283" s="267">
        <v>4015</v>
      </c>
      <c r="V283" s="267">
        <v>0</v>
      </c>
      <c r="W283" s="268" t="s">
        <v>218</v>
      </c>
      <c r="X283" s="268" t="s">
        <v>218</v>
      </c>
      <c r="Y283" s="269" t="s">
        <v>218</v>
      </c>
      <c r="Z283" s="270" t="s">
        <v>218</v>
      </c>
      <c r="AA283" s="268" t="s">
        <v>218</v>
      </c>
      <c r="AB283" s="268" t="s">
        <v>218</v>
      </c>
      <c r="AC283" s="269" t="s">
        <v>219</v>
      </c>
      <c r="AD283" s="268" t="s">
        <v>218</v>
      </c>
      <c r="AE283" s="269" t="s">
        <v>219</v>
      </c>
      <c r="AF283" s="268">
        <v>0</v>
      </c>
      <c r="AG283" s="239">
        <v>1</v>
      </c>
      <c r="AH283" s="239"/>
      <c r="AI283" s="239">
        <v>1</v>
      </c>
      <c r="AJ283" s="239">
        <v>1</v>
      </c>
      <c r="AK283" s="81"/>
      <c r="AL283" s="81"/>
    </row>
    <row r="284" spans="1:38" s="83" customFormat="1" ht="32.25" customHeight="1" x14ac:dyDescent="0.3">
      <c r="A284" s="80">
        <v>277</v>
      </c>
      <c r="B284" s="84" t="s">
        <v>196</v>
      </c>
      <c r="C284" s="81"/>
      <c r="D284" s="263" t="s">
        <v>1353</v>
      </c>
      <c r="E284" s="239">
        <v>21</v>
      </c>
      <c r="F284" s="239"/>
      <c r="G284" s="239" t="s">
        <v>245</v>
      </c>
      <c r="H284" s="84" t="s">
        <v>969</v>
      </c>
      <c r="I284" s="239" t="s">
        <v>886</v>
      </c>
      <c r="J284" s="239" t="s">
        <v>887</v>
      </c>
      <c r="K284" s="118" t="s">
        <v>890</v>
      </c>
      <c r="L284" s="239"/>
      <c r="M284" s="265">
        <v>1965</v>
      </c>
      <c r="N284" s="239" t="s">
        <v>889</v>
      </c>
      <c r="O284" s="265">
        <v>5</v>
      </c>
      <c r="P284" s="239">
        <v>0</v>
      </c>
      <c r="Q284" s="265">
        <v>6</v>
      </c>
      <c r="R284" s="239">
        <v>90</v>
      </c>
      <c r="S284" s="266">
        <f t="shared" si="9"/>
        <v>4048</v>
      </c>
      <c r="T284" s="267">
        <v>4048</v>
      </c>
      <c r="U284" s="267">
        <v>3992</v>
      </c>
      <c r="V284" s="267">
        <v>0</v>
      </c>
      <c r="W284" s="268" t="s">
        <v>218</v>
      </c>
      <c r="X284" s="268" t="s">
        <v>218</v>
      </c>
      <c r="Y284" s="269" t="s">
        <v>218</v>
      </c>
      <c r="Z284" s="270" t="s">
        <v>218</v>
      </c>
      <c r="AA284" s="268" t="s">
        <v>218</v>
      </c>
      <c r="AB284" s="268" t="s">
        <v>218</v>
      </c>
      <c r="AC284" s="269" t="s">
        <v>219</v>
      </c>
      <c r="AD284" s="268" t="s">
        <v>218</v>
      </c>
      <c r="AE284" s="269" t="s">
        <v>219</v>
      </c>
      <c r="AF284" s="268">
        <v>0</v>
      </c>
      <c r="AG284" s="239">
        <v>1</v>
      </c>
      <c r="AH284" s="239"/>
      <c r="AI284" s="239">
        <v>1</v>
      </c>
      <c r="AJ284" s="239">
        <v>1</v>
      </c>
      <c r="AK284" s="81"/>
      <c r="AL284" s="81"/>
    </row>
    <row r="285" spans="1:38" s="83" customFormat="1" ht="32.25" customHeight="1" x14ac:dyDescent="0.3">
      <c r="A285" s="5">
        <v>278</v>
      </c>
      <c r="B285" s="84" t="s">
        <v>196</v>
      </c>
      <c r="C285" s="81"/>
      <c r="D285" s="263" t="s">
        <v>1353</v>
      </c>
      <c r="E285" s="239">
        <v>23</v>
      </c>
      <c r="F285" s="239">
        <v>1</v>
      </c>
      <c r="G285" s="239" t="s">
        <v>245</v>
      </c>
      <c r="H285" s="84" t="s">
        <v>970</v>
      </c>
      <c r="I285" s="239" t="s">
        <v>886</v>
      </c>
      <c r="J285" s="239" t="s">
        <v>887</v>
      </c>
      <c r="K285" s="118" t="s">
        <v>890</v>
      </c>
      <c r="L285" s="239"/>
      <c r="M285" s="265">
        <v>1965</v>
      </c>
      <c r="N285" s="239" t="s">
        <v>889</v>
      </c>
      <c r="O285" s="265">
        <v>5</v>
      </c>
      <c r="P285" s="239">
        <v>0</v>
      </c>
      <c r="Q285" s="265">
        <v>6</v>
      </c>
      <c r="R285" s="239">
        <v>90</v>
      </c>
      <c r="S285" s="266">
        <f t="shared" si="9"/>
        <v>4114.2</v>
      </c>
      <c r="T285" s="267">
        <v>4114.2</v>
      </c>
      <c r="U285" s="267">
        <v>4032</v>
      </c>
      <c r="V285" s="267">
        <v>0</v>
      </c>
      <c r="W285" s="268" t="s">
        <v>218</v>
      </c>
      <c r="X285" s="268" t="s">
        <v>218</v>
      </c>
      <c r="Y285" s="269" t="s">
        <v>218</v>
      </c>
      <c r="Z285" s="270" t="s">
        <v>218</v>
      </c>
      <c r="AA285" s="268" t="s">
        <v>218</v>
      </c>
      <c r="AB285" s="268" t="s">
        <v>218</v>
      </c>
      <c r="AC285" s="269" t="s">
        <v>219</v>
      </c>
      <c r="AD285" s="268" t="s">
        <v>218</v>
      </c>
      <c r="AE285" s="269" t="s">
        <v>219</v>
      </c>
      <c r="AF285" s="268">
        <v>0</v>
      </c>
      <c r="AG285" s="239">
        <v>1</v>
      </c>
      <c r="AH285" s="239"/>
      <c r="AI285" s="239">
        <v>1</v>
      </c>
      <c r="AJ285" s="239">
        <v>1</v>
      </c>
      <c r="AK285" s="81"/>
      <c r="AL285" s="81"/>
    </row>
    <row r="286" spans="1:38" s="83" customFormat="1" ht="32.25" customHeight="1" x14ac:dyDescent="0.3">
      <c r="A286" s="80">
        <v>279</v>
      </c>
      <c r="B286" s="84" t="s">
        <v>196</v>
      </c>
      <c r="C286" s="81"/>
      <c r="D286" s="263" t="s">
        <v>1353</v>
      </c>
      <c r="E286" s="239">
        <v>23</v>
      </c>
      <c r="F286" s="239">
        <v>2</v>
      </c>
      <c r="G286" s="239" t="s">
        <v>245</v>
      </c>
      <c r="H286" s="84" t="s">
        <v>971</v>
      </c>
      <c r="I286" s="239" t="s">
        <v>886</v>
      </c>
      <c r="J286" s="239" t="s">
        <v>318</v>
      </c>
      <c r="K286" s="118" t="s">
        <v>892</v>
      </c>
      <c r="L286" s="239"/>
      <c r="M286" s="265">
        <v>1965</v>
      </c>
      <c r="N286" s="239" t="s">
        <v>889</v>
      </c>
      <c r="O286" s="265">
        <v>9</v>
      </c>
      <c r="P286" s="239">
        <v>0</v>
      </c>
      <c r="Q286" s="265">
        <v>1</v>
      </c>
      <c r="R286" s="239">
        <v>45</v>
      </c>
      <c r="S286" s="266">
        <f t="shared" si="9"/>
        <v>2085.6</v>
      </c>
      <c r="T286" s="267">
        <v>2085.6</v>
      </c>
      <c r="U286" s="267">
        <v>1978.2</v>
      </c>
      <c r="V286" s="267">
        <v>0</v>
      </c>
      <c r="W286" s="268" t="s">
        <v>218</v>
      </c>
      <c r="X286" s="268" t="s">
        <v>218</v>
      </c>
      <c r="Y286" s="269" t="s">
        <v>218</v>
      </c>
      <c r="Z286" s="270" t="s">
        <v>218</v>
      </c>
      <c r="AA286" s="268" t="s">
        <v>218</v>
      </c>
      <c r="AB286" s="268" t="s">
        <v>218</v>
      </c>
      <c r="AC286" s="269" t="s">
        <v>219</v>
      </c>
      <c r="AD286" s="268" t="s">
        <v>218</v>
      </c>
      <c r="AE286" s="269" t="s">
        <v>219</v>
      </c>
      <c r="AF286" s="268">
        <v>1</v>
      </c>
      <c r="AG286" s="239">
        <v>2</v>
      </c>
      <c r="AH286" s="239"/>
      <c r="AI286" s="239">
        <v>1</v>
      </c>
      <c r="AJ286" s="239">
        <v>1</v>
      </c>
      <c r="AK286" s="81"/>
      <c r="AL286" s="81"/>
    </row>
    <row r="287" spans="1:38" s="83" customFormat="1" ht="32.25" customHeight="1" x14ac:dyDescent="0.3">
      <c r="A287" s="5">
        <v>280</v>
      </c>
      <c r="B287" s="84" t="s">
        <v>196</v>
      </c>
      <c r="C287" s="81"/>
      <c r="D287" s="263" t="s">
        <v>1353</v>
      </c>
      <c r="E287" s="239">
        <v>7</v>
      </c>
      <c r="F287" s="239"/>
      <c r="G287" s="239" t="s">
        <v>245</v>
      </c>
      <c r="H287" s="84" t="s">
        <v>972</v>
      </c>
      <c r="I287" s="239" t="s">
        <v>886</v>
      </c>
      <c r="J287" s="239" t="s">
        <v>887</v>
      </c>
      <c r="K287" s="118" t="s">
        <v>888</v>
      </c>
      <c r="L287" s="239"/>
      <c r="M287" s="265">
        <v>1965</v>
      </c>
      <c r="N287" s="239" t="s">
        <v>889</v>
      </c>
      <c r="O287" s="265">
        <v>5</v>
      </c>
      <c r="P287" s="239">
        <v>0</v>
      </c>
      <c r="Q287" s="265">
        <v>6</v>
      </c>
      <c r="R287" s="239">
        <v>90</v>
      </c>
      <c r="S287" s="266">
        <f t="shared" si="9"/>
        <v>4108.8</v>
      </c>
      <c r="T287" s="267">
        <v>4108.8</v>
      </c>
      <c r="U287" s="267">
        <v>4048.83</v>
      </c>
      <c r="V287" s="267">
        <v>0</v>
      </c>
      <c r="W287" s="268" t="s">
        <v>218</v>
      </c>
      <c r="X287" s="268" t="s">
        <v>218</v>
      </c>
      <c r="Y287" s="269" t="s">
        <v>218</v>
      </c>
      <c r="Z287" s="270" t="s">
        <v>218</v>
      </c>
      <c r="AA287" s="268" t="s">
        <v>218</v>
      </c>
      <c r="AB287" s="268" t="s">
        <v>218</v>
      </c>
      <c r="AC287" s="269" t="s">
        <v>219</v>
      </c>
      <c r="AD287" s="268" t="s">
        <v>218</v>
      </c>
      <c r="AE287" s="269" t="s">
        <v>219</v>
      </c>
      <c r="AF287" s="268">
        <v>0</v>
      </c>
      <c r="AG287" s="239">
        <v>1</v>
      </c>
      <c r="AH287" s="239"/>
      <c r="AI287" s="239">
        <v>1</v>
      </c>
      <c r="AJ287" s="239">
        <v>1</v>
      </c>
      <c r="AK287" s="81"/>
      <c r="AL287" s="81"/>
    </row>
    <row r="288" spans="1:38" s="83" customFormat="1" ht="32.25" customHeight="1" x14ac:dyDescent="0.3">
      <c r="A288" s="80">
        <v>281</v>
      </c>
      <c r="B288" s="84" t="s">
        <v>196</v>
      </c>
      <c r="C288" s="81"/>
      <c r="D288" s="263" t="s">
        <v>1353</v>
      </c>
      <c r="E288" s="239">
        <v>9</v>
      </c>
      <c r="F288" s="239">
        <v>2</v>
      </c>
      <c r="G288" s="239" t="s">
        <v>245</v>
      </c>
      <c r="H288" s="84" t="s">
        <v>973</v>
      </c>
      <c r="I288" s="239" t="s">
        <v>886</v>
      </c>
      <c r="J288" s="239" t="s">
        <v>887</v>
      </c>
      <c r="K288" s="118" t="s">
        <v>888</v>
      </c>
      <c r="L288" s="239"/>
      <c r="M288" s="265">
        <v>1965</v>
      </c>
      <c r="N288" s="239" t="s">
        <v>889</v>
      </c>
      <c r="O288" s="265">
        <v>5</v>
      </c>
      <c r="P288" s="239">
        <v>0</v>
      </c>
      <c r="Q288" s="265">
        <v>6</v>
      </c>
      <c r="R288" s="239">
        <v>90</v>
      </c>
      <c r="S288" s="266">
        <f t="shared" si="9"/>
        <v>4092.2</v>
      </c>
      <c r="T288" s="267">
        <v>4092.2</v>
      </c>
      <c r="U288" s="267">
        <v>4038.1</v>
      </c>
      <c r="V288" s="267">
        <v>0</v>
      </c>
      <c r="W288" s="268" t="s">
        <v>218</v>
      </c>
      <c r="X288" s="268" t="s">
        <v>218</v>
      </c>
      <c r="Y288" s="269" t="s">
        <v>218</v>
      </c>
      <c r="Z288" s="270" t="s">
        <v>218</v>
      </c>
      <c r="AA288" s="268" t="s">
        <v>218</v>
      </c>
      <c r="AB288" s="268" t="s">
        <v>218</v>
      </c>
      <c r="AC288" s="269" t="s">
        <v>219</v>
      </c>
      <c r="AD288" s="268" t="s">
        <v>218</v>
      </c>
      <c r="AE288" s="269" t="s">
        <v>219</v>
      </c>
      <c r="AF288" s="268">
        <v>0</v>
      </c>
      <c r="AG288" s="239">
        <v>1</v>
      </c>
      <c r="AH288" s="239"/>
      <c r="AI288" s="239">
        <v>1</v>
      </c>
      <c r="AJ288" s="239">
        <v>1</v>
      </c>
      <c r="AK288" s="81"/>
      <c r="AL288" s="81"/>
    </row>
    <row r="289" spans="1:38" s="83" customFormat="1" ht="32.25" customHeight="1" x14ac:dyDescent="0.3">
      <c r="A289" s="5">
        <v>282</v>
      </c>
      <c r="B289" s="84" t="s">
        <v>196</v>
      </c>
      <c r="C289" s="81"/>
      <c r="D289" s="263" t="s">
        <v>1354</v>
      </c>
      <c r="E289" s="239">
        <v>3</v>
      </c>
      <c r="F289" s="239"/>
      <c r="G289" s="239" t="s">
        <v>245</v>
      </c>
      <c r="H289" s="84" t="s">
        <v>974</v>
      </c>
      <c r="I289" s="239" t="s">
        <v>886</v>
      </c>
      <c r="J289" s="239" t="s">
        <v>887</v>
      </c>
      <c r="K289" s="118"/>
      <c r="L289" s="239"/>
      <c r="M289" s="265">
        <v>1958</v>
      </c>
      <c r="N289" s="239" t="s">
        <v>893</v>
      </c>
      <c r="O289" s="265">
        <v>5</v>
      </c>
      <c r="P289" s="239">
        <v>0</v>
      </c>
      <c r="Q289" s="265">
        <v>4</v>
      </c>
      <c r="R289" s="239">
        <v>53</v>
      </c>
      <c r="S289" s="266">
        <f t="shared" si="9"/>
        <v>4348.1000000000004</v>
      </c>
      <c r="T289" s="267">
        <v>4348.1000000000004</v>
      </c>
      <c r="U289" s="267">
        <v>3308.4</v>
      </c>
      <c r="V289" s="267">
        <v>369.1</v>
      </c>
      <c r="W289" s="268" t="s">
        <v>218</v>
      </c>
      <c r="X289" s="268" t="s">
        <v>218</v>
      </c>
      <c r="Y289" s="269" t="s">
        <v>219</v>
      </c>
      <c r="Z289" s="270" t="s">
        <v>218</v>
      </c>
      <c r="AA289" s="268" t="s">
        <v>218</v>
      </c>
      <c r="AB289" s="268" t="s">
        <v>218</v>
      </c>
      <c r="AC289" s="269" t="s">
        <v>218</v>
      </c>
      <c r="AD289" s="268" t="s">
        <v>218</v>
      </c>
      <c r="AE289" s="269" t="s">
        <v>219</v>
      </c>
      <c r="AF289" s="268">
        <v>0</v>
      </c>
      <c r="AG289" s="239">
        <v>1</v>
      </c>
      <c r="AH289" s="239"/>
      <c r="AI289" s="239">
        <v>0</v>
      </c>
      <c r="AJ289" s="239">
        <v>0</v>
      </c>
      <c r="AK289" s="81"/>
      <c r="AL289" s="81"/>
    </row>
    <row r="290" spans="1:38" s="83" customFormat="1" ht="32.25" customHeight="1" x14ac:dyDescent="0.3">
      <c r="A290" s="80">
        <v>283</v>
      </c>
      <c r="B290" s="84" t="s">
        <v>196</v>
      </c>
      <c r="C290" s="81"/>
      <c r="D290" s="263" t="s">
        <v>1354</v>
      </c>
      <c r="E290" s="239">
        <v>5</v>
      </c>
      <c r="F290" s="239"/>
      <c r="G290" s="239" t="s">
        <v>245</v>
      </c>
      <c r="H290" s="84" t="s">
        <v>975</v>
      </c>
      <c r="I290" s="239" t="s">
        <v>886</v>
      </c>
      <c r="J290" s="239" t="s">
        <v>887</v>
      </c>
      <c r="K290" s="118"/>
      <c r="L290" s="239"/>
      <c r="M290" s="265">
        <v>1949</v>
      </c>
      <c r="N290" s="239" t="s">
        <v>893</v>
      </c>
      <c r="O290" s="265">
        <v>2</v>
      </c>
      <c r="P290" s="239">
        <v>0</v>
      </c>
      <c r="Q290" s="265">
        <v>2</v>
      </c>
      <c r="R290" s="239">
        <v>12</v>
      </c>
      <c r="S290" s="266">
        <f t="shared" si="9"/>
        <v>642.4</v>
      </c>
      <c r="T290" s="267">
        <v>642.4</v>
      </c>
      <c r="U290" s="267">
        <v>642.4</v>
      </c>
      <c r="V290" s="267">
        <v>0</v>
      </c>
      <c r="W290" s="268" t="s">
        <v>218</v>
      </c>
      <c r="X290" s="268" t="s">
        <v>218</v>
      </c>
      <c r="Y290" s="269" t="s">
        <v>219</v>
      </c>
      <c r="Z290" s="270" t="s">
        <v>218</v>
      </c>
      <c r="AA290" s="268" t="s">
        <v>218</v>
      </c>
      <c r="AB290" s="268" t="s">
        <v>218</v>
      </c>
      <c r="AC290" s="269" t="s">
        <v>218</v>
      </c>
      <c r="AD290" s="268" t="s">
        <v>218</v>
      </c>
      <c r="AE290" s="269" t="s">
        <v>219</v>
      </c>
      <c r="AF290" s="268">
        <v>0</v>
      </c>
      <c r="AG290" s="239">
        <v>1</v>
      </c>
      <c r="AH290" s="239"/>
      <c r="AI290" s="239">
        <v>0</v>
      </c>
      <c r="AJ290" s="239">
        <v>0</v>
      </c>
      <c r="AK290" s="81"/>
      <c r="AL290" s="81"/>
    </row>
    <row r="291" spans="1:38" s="83" customFormat="1" ht="32.25" customHeight="1" x14ac:dyDescent="0.3">
      <c r="A291" s="5">
        <v>284</v>
      </c>
      <c r="B291" s="84" t="s">
        <v>196</v>
      </c>
      <c r="C291" s="81"/>
      <c r="D291" s="263" t="s">
        <v>1354</v>
      </c>
      <c r="E291" s="239">
        <v>7</v>
      </c>
      <c r="F291" s="239"/>
      <c r="G291" s="239" t="s">
        <v>245</v>
      </c>
      <c r="H291" s="84" t="s">
        <v>976</v>
      </c>
      <c r="I291" s="239" t="s">
        <v>886</v>
      </c>
      <c r="J291" s="239" t="s">
        <v>887</v>
      </c>
      <c r="K291" s="118"/>
      <c r="L291" s="239"/>
      <c r="M291" s="265">
        <v>1949</v>
      </c>
      <c r="N291" s="239" t="s">
        <v>893</v>
      </c>
      <c r="O291" s="265">
        <v>3</v>
      </c>
      <c r="P291" s="239">
        <v>0</v>
      </c>
      <c r="Q291" s="265">
        <v>2</v>
      </c>
      <c r="R291" s="239">
        <v>18</v>
      </c>
      <c r="S291" s="266">
        <f t="shared" si="9"/>
        <v>1278.8</v>
      </c>
      <c r="T291" s="267">
        <v>1278.8</v>
      </c>
      <c r="U291" s="267">
        <v>968.3</v>
      </c>
      <c r="V291" s="267">
        <v>0</v>
      </c>
      <c r="W291" s="268" t="s">
        <v>218</v>
      </c>
      <c r="X291" s="268" t="s">
        <v>218</v>
      </c>
      <c r="Y291" s="269" t="s">
        <v>219</v>
      </c>
      <c r="Z291" s="270" t="s">
        <v>218</v>
      </c>
      <c r="AA291" s="268" t="s">
        <v>218</v>
      </c>
      <c r="AB291" s="268" t="s">
        <v>218</v>
      </c>
      <c r="AC291" s="269" t="s">
        <v>218</v>
      </c>
      <c r="AD291" s="268" t="s">
        <v>218</v>
      </c>
      <c r="AE291" s="269" t="s">
        <v>219</v>
      </c>
      <c r="AF291" s="268">
        <v>0</v>
      </c>
      <c r="AG291" s="239">
        <v>1</v>
      </c>
      <c r="AH291" s="239"/>
      <c r="AI291" s="239">
        <v>0</v>
      </c>
      <c r="AJ291" s="239">
        <v>0</v>
      </c>
      <c r="AK291" s="81"/>
      <c r="AL291" s="81"/>
    </row>
    <row r="292" spans="1:38" s="83" customFormat="1" ht="32.25" customHeight="1" x14ac:dyDescent="0.3">
      <c r="A292" s="80">
        <v>285</v>
      </c>
      <c r="B292" s="84" t="s">
        <v>196</v>
      </c>
      <c r="C292" s="81"/>
      <c r="D292" s="263" t="s">
        <v>1354</v>
      </c>
      <c r="E292" s="239">
        <v>9</v>
      </c>
      <c r="F292" s="239"/>
      <c r="G292" s="239" t="s">
        <v>245</v>
      </c>
      <c r="H292" s="84" t="s">
        <v>977</v>
      </c>
      <c r="I292" s="239" t="s">
        <v>886</v>
      </c>
      <c r="J292" s="239" t="s">
        <v>887</v>
      </c>
      <c r="K292" s="118"/>
      <c r="L292" s="239"/>
      <c r="M292" s="265">
        <v>1949</v>
      </c>
      <c r="N292" s="239" t="s">
        <v>893</v>
      </c>
      <c r="O292" s="265">
        <v>2</v>
      </c>
      <c r="P292" s="239">
        <v>0</v>
      </c>
      <c r="Q292" s="265">
        <v>2</v>
      </c>
      <c r="R292" s="239">
        <v>12</v>
      </c>
      <c r="S292" s="266">
        <f t="shared" si="9"/>
        <v>659.3</v>
      </c>
      <c r="T292" s="267">
        <v>659.3</v>
      </c>
      <c r="U292" s="267">
        <v>659.3</v>
      </c>
      <c r="V292" s="267">
        <v>0</v>
      </c>
      <c r="W292" s="268" t="s">
        <v>218</v>
      </c>
      <c r="X292" s="268" t="s">
        <v>218</v>
      </c>
      <c r="Y292" s="269" t="s">
        <v>219</v>
      </c>
      <c r="Z292" s="270" t="s">
        <v>218</v>
      </c>
      <c r="AA292" s="268" t="s">
        <v>218</v>
      </c>
      <c r="AB292" s="268" t="s">
        <v>218</v>
      </c>
      <c r="AC292" s="269" t="s">
        <v>218</v>
      </c>
      <c r="AD292" s="268" t="s">
        <v>218</v>
      </c>
      <c r="AE292" s="269" t="s">
        <v>219</v>
      </c>
      <c r="AF292" s="268">
        <v>0</v>
      </c>
      <c r="AG292" s="239">
        <v>1</v>
      </c>
      <c r="AH292" s="239"/>
      <c r="AI292" s="239">
        <v>0</v>
      </c>
      <c r="AJ292" s="239">
        <v>0</v>
      </c>
      <c r="AK292" s="81"/>
      <c r="AL292" s="81"/>
    </row>
    <row r="293" spans="1:38" s="83" customFormat="1" ht="32.25" customHeight="1" x14ac:dyDescent="0.3">
      <c r="A293" s="5">
        <v>286</v>
      </c>
      <c r="B293" s="84" t="s">
        <v>196</v>
      </c>
      <c r="C293" s="81"/>
      <c r="D293" s="263" t="s">
        <v>371</v>
      </c>
      <c r="E293" s="239">
        <v>10</v>
      </c>
      <c r="F293" s="239">
        <v>1</v>
      </c>
      <c r="G293" s="239" t="s">
        <v>245</v>
      </c>
      <c r="H293" s="84" t="s">
        <v>978</v>
      </c>
      <c r="I293" s="239" t="s">
        <v>886</v>
      </c>
      <c r="J293" s="239" t="s">
        <v>216</v>
      </c>
      <c r="K293" s="118" t="s">
        <v>894</v>
      </c>
      <c r="L293" s="239"/>
      <c r="M293" s="265">
        <v>1970</v>
      </c>
      <c r="N293" s="239" t="s">
        <v>889</v>
      </c>
      <c r="O293" s="265">
        <v>9</v>
      </c>
      <c r="P293" s="239">
        <v>0</v>
      </c>
      <c r="Q293" s="265">
        <v>9</v>
      </c>
      <c r="R293" s="239">
        <v>324</v>
      </c>
      <c r="S293" s="266">
        <f t="shared" si="9"/>
        <v>17816</v>
      </c>
      <c r="T293" s="267">
        <v>17816</v>
      </c>
      <c r="U293" s="267">
        <v>17696.8</v>
      </c>
      <c r="V293" s="267">
        <v>0</v>
      </c>
      <c r="W293" s="268" t="s">
        <v>218</v>
      </c>
      <c r="X293" s="268" t="s">
        <v>218</v>
      </c>
      <c r="Y293" s="269" t="s">
        <v>218</v>
      </c>
      <c r="Z293" s="270" t="s">
        <v>218</v>
      </c>
      <c r="AA293" s="268" t="s">
        <v>218</v>
      </c>
      <c r="AB293" s="268" t="s">
        <v>218</v>
      </c>
      <c r="AC293" s="269" t="s">
        <v>219</v>
      </c>
      <c r="AD293" s="268" t="s">
        <v>218</v>
      </c>
      <c r="AE293" s="269" t="s">
        <v>219</v>
      </c>
      <c r="AF293" s="268">
        <v>9</v>
      </c>
      <c r="AG293" s="239">
        <v>2</v>
      </c>
      <c r="AH293" s="239"/>
      <c r="AI293" s="239">
        <v>1</v>
      </c>
      <c r="AJ293" s="239">
        <v>1</v>
      </c>
      <c r="AK293" s="81"/>
      <c r="AL293" s="81"/>
    </row>
    <row r="294" spans="1:38" s="83" customFormat="1" ht="32.25" customHeight="1" x14ac:dyDescent="0.3">
      <c r="A294" s="80">
        <v>287</v>
      </c>
      <c r="B294" s="84" t="s">
        <v>196</v>
      </c>
      <c r="C294" s="81"/>
      <c r="D294" s="263" t="s">
        <v>371</v>
      </c>
      <c r="E294" s="239">
        <v>12</v>
      </c>
      <c r="F294" s="239"/>
      <c r="G294" s="239" t="s">
        <v>245</v>
      </c>
      <c r="H294" s="84" t="s">
        <v>979</v>
      </c>
      <c r="I294" s="239" t="s">
        <v>886</v>
      </c>
      <c r="J294" s="239" t="s">
        <v>318</v>
      </c>
      <c r="K294" s="118" t="s">
        <v>369</v>
      </c>
      <c r="L294" s="239"/>
      <c r="M294" s="265">
        <v>1967</v>
      </c>
      <c r="N294" s="239" t="s">
        <v>889</v>
      </c>
      <c r="O294" s="265">
        <v>9</v>
      </c>
      <c r="P294" s="239">
        <v>0</v>
      </c>
      <c r="Q294" s="265">
        <v>4</v>
      </c>
      <c r="R294" s="239">
        <v>231</v>
      </c>
      <c r="S294" s="266">
        <f t="shared" si="9"/>
        <v>11428.41</v>
      </c>
      <c r="T294" s="267">
        <v>11428.41</v>
      </c>
      <c r="U294" s="267">
        <v>11258.47</v>
      </c>
      <c r="V294" s="267">
        <v>0</v>
      </c>
      <c r="W294" s="268" t="s">
        <v>218</v>
      </c>
      <c r="X294" s="268" t="s">
        <v>218</v>
      </c>
      <c r="Y294" s="269" t="s">
        <v>218</v>
      </c>
      <c r="Z294" s="270" t="s">
        <v>218</v>
      </c>
      <c r="AA294" s="268" t="s">
        <v>218</v>
      </c>
      <c r="AB294" s="268" t="s">
        <v>218</v>
      </c>
      <c r="AC294" s="269" t="s">
        <v>219</v>
      </c>
      <c r="AD294" s="268" t="s">
        <v>218</v>
      </c>
      <c r="AE294" s="269" t="s">
        <v>219</v>
      </c>
      <c r="AF294" s="268">
        <v>4</v>
      </c>
      <c r="AG294" s="239">
        <v>2</v>
      </c>
      <c r="AH294" s="239"/>
      <c r="AI294" s="239">
        <v>1</v>
      </c>
      <c r="AJ294" s="239">
        <v>1</v>
      </c>
      <c r="AK294" s="81"/>
      <c r="AL294" s="81"/>
    </row>
    <row r="295" spans="1:38" s="83" customFormat="1" ht="32.25" customHeight="1" x14ac:dyDescent="0.3">
      <c r="A295" s="5">
        <v>288</v>
      </c>
      <c r="B295" s="84" t="s">
        <v>196</v>
      </c>
      <c r="C295" s="81"/>
      <c r="D295" s="263" t="s">
        <v>371</v>
      </c>
      <c r="E295" s="239">
        <v>16</v>
      </c>
      <c r="F295" s="239">
        <v>1</v>
      </c>
      <c r="G295" s="239" t="s">
        <v>245</v>
      </c>
      <c r="H295" s="84" t="s">
        <v>980</v>
      </c>
      <c r="I295" s="239" t="s">
        <v>886</v>
      </c>
      <c r="J295" s="239"/>
      <c r="K295" s="118" t="s">
        <v>356</v>
      </c>
      <c r="L295" s="239"/>
      <c r="M295" s="265">
        <v>1969</v>
      </c>
      <c r="N295" s="239" t="s">
        <v>889</v>
      </c>
      <c r="O295" s="265">
        <v>9</v>
      </c>
      <c r="P295" s="239">
        <v>0</v>
      </c>
      <c r="Q295" s="265">
        <v>7</v>
      </c>
      <c r="R295" s="239">
        <v>118</v>
      </c>
      <c r="S295" s="266">
        <f t="shared" si="9"/>
        <v>17099.25</v>
      </c>
      <c r="T295" s="267">
        <v>17099.25</v>
      </c>
      <c r="U295" s="267">
        <v>16856.740000000002</v>
      </c>
      <c r="V295" s="267">
        <v>0</v>
      </c>
      <c r="W295" s="268" t="s">
        <v>218</v>
      </c>
      <c r="X295" s="268" t="s">
        <v>218</v>
      </c>
      <c r="Y295" s="269" t="s">
        <v>218</v>
      </c>
      <c r="Z295" s="270" t="s">
        <v>218</v>
      </c>
      <c r="AA295" s="268" t="s">
        <v>218</v>
      </c>
      <c r="AB295" s="268" t="s">
        <v>218</v>
      </c>
      <c r="AC295" s="269" t="s">
        <v>219</v>
      </c>
      <c r="AD295" s="268" t="s">
        <v>218</v>
      </c>
      <c r="AE295" s="269" t="s">
        <v>219</v>
      </c>
      <c r="AF295" s="268">
        <v>0</v>
      </c>
      <c r="AG295" s="239">
        <v>1</v>
      </c>
      <c r="AH295" s="239"/>
      <c r="AI295" s="239">
        <v>1</v>
      </c>
      <c r="AJ295" s="239">
        <v>1</v>
      </c>
      <c r="AK295" s="81"/>
      <c r="AL295" s="81"/>
    </row>
    <row r="296" spans="1:38" s="83" customFormat="1" ht="32.25" customHeight="1" x14ac:dyDescent="0.3">
      <c r="A296" s="80">
        <v>289</v>
      </c>
      <c r="B296" s="84" t="s">
        <v>196</v>
      </c>
      <c r="C296" s="81"/>
      <c r="D296" s="263" t="s">
        <v>371</v>
      </c>
      <c r="E296" s="239">
        <v>16</v>
      </c>
      <c r="F296" s="239">
        <v>2</v>
      </c>
      <c r="G296" s="239" t="s">
        <v>245</v>
      </c>
      <c r="H296" s="84" t="s">
        <v>981</v>
      </c>
      <c r="I296" s="239" t="s">
        <v>886</v>
      </c>
      <c r="J296" s="239"/>
      <c r="K296" s="118" t="s">
        <v>895</v>
      </c>
      <c r="L296" s="239"/>
      <c r="M296" s="239">
        <v>1966</v>
      </c>
      <c r="N296" s="239" t="s">
        <v>889</v>
      </c>
      <c r="O296" s="239">
        <v>5</v>
      </c>
      <c r="P296" s="239">
        <v>0</v>
      </c>
      <c r="Q296" s="239">
        <v>4</v>
      </c>
      <c r="R296" s="239">
        <v>118</v>
      </c>
      <c r="S296" s="266">
        <f t="shared" si="9"/>
        <v>5528.2</v>
      </c>
      <c r="T296" s="267">
        <v>5528.2</v>
      </c>
      <c r="U296" s="267">
        <v>5439.2</v>
      </c>
      <c r="V296" s="267">
        <v>0</v>
      </c>
      <c r="W296" s="268" t="s">
        <v>218</v>
      </c>
      <c r="X296" s="268" t="s">
        <v>218</v>
      </c>
      <c r="Y296" s="269" t="s">
        <v>218</v>
      </c>
      <c r="Z296" s="270" t="s">
        <v>218</v>
      </c>
      <c r="AA296" s="268" t="s">
        <v>218</v>
      </c>
      <c r="AB296" s="268" t="s">
        <v>218</v>
      </c>
      <c r="AC296" s="269" t="s">
        <v>219</v>
      </c>
      <c r="AD296" s="268" t="s">
        <v>218</v>
      </c>
      <c r="AE296" s="269" t="s">
        <v>219</v>
      </c>
      <c r="AF296" s="268">
        <v>0</v>
      </c>
      <c r="AG296" s="239">
        <v>1</v>
      </c>
      <c r="AH296" s="239"/>
      <c r="AI296" s="239">
        <v>1</v>
      </c>
      <c r="AJ296" s="239">
        <v>1</v>
      </c>
      <c r="AK296" s="81"/>
      <c r="AL296" s="81"/>
    </row>
    <row r="297" spans="1:38" s="83" customFormat="1" ht="32.25" customHeight="1" x14ac:dyDescent="0.3">
      <c r="A297" s="5">
        <v>290</v>
      </c>
      <c r="B297" s="84" t="s">
        <v>196</v>
      </c>
      <c r="C297" s="81"/>
      <c r="D297" s="263" t="s">
        <v>371</v>
      </c>
      <c r="E297" s="239">
        <v>16</v>
      </c>
      <c r="F297" s="239"/>
      <c r="G297" s="239" t="s">
        <v>245</v>
      </c>
      <c r="H297" s="84" t="s">
        <v>982</v>
      </c>
      <c r="I297" s="239" t="s">
        <v>886</v>
      </c>
      <c r="J297" s="239" t="s">
        <v>216</v>
      </c>
      <c r="K297" s="118" t="s">
        <v>895</v>
      </c>
      <c r="L297" s="239"/>
      <c r="M297" s="239">
        <v>1966</v>
      </c>
      <c r="N297" s="239" t="s">
        <v>889</v>
      </c>
      <c r="O297" s="239">
        <v>5</v>
      </c>
      <c r="P297" s="239">
        <v>0</v>
      </c>
      <c r="Q297" s="239">
        <v>6</v>
      </c>
      <c r="R297" s="239">
        <v>373</v>
      </c>
      <c r="S297" s="266">
        <f t="shared" si="9"/>
        <v>5520.73</v>
      </c>
      <c r="T297" s="267">
        <v>5520.73</v>
      </c>
      <c r="U297" s="267">
        <v>5428.85</v>
      </c>
      <c r="V297" s="267">
        <v>0</v>
      </c>
      <c r="W297" s="268" t="s">
        <v>218</v>
      </c>
      <c r="X297" s="268" t="s">
        <v>218</v>
      </c>
      <c r="Y297" s="269" t="s">
        <v>218</v>
      </c>
      <c r="Z297" s="270" t="s">
        <v>218</v>
      </c>
      <c r="AA297" s="268" t="s">
        <v>218</v>
      </c>
      <c r="AB297" s="268" t="s">
        <v>218</v>
      </c>
      <c r="AC297" s="269" t="s">
        <v>219</v>
      </c>
      <c r="AD297" s="268" t="s">
        <v>218</v>
      </c>
      <c r="AE297" s="269" t="s">
        <v>219</v>
      </c>
      <c r="AF297" s="268">
        <v>7</v>
      </c>
      <c r="AG297" s="239">
        <v>1</v>
      </c>
      <c r="AH297" s="239"/>
      <c r="AI297" s="239">
        <v>1</v>
      </c>
      <c r="AJ297" s="239">
        <v>1</v>
      </c>
      <c r="AK297" s="81"/>
      <c r="AL297" s="81"/>
    </row>
    <row r="298" spans="1:38" s="83" customFormat="1" ht="32.25" customHeight="1" x14ac:dyDescent="0.3">
      <c r="A298" s="80">
        <v>291</v>
      </c>
      <c r="B298" s="84" t="s">
        <v>196</v>
      </c>
      <c r="C298" s="81"/>
      <c r="D298" s="263" t="s">
        <v>371</v>
      </c>
      <c r="E298" s="239">
        <v>18</v>
      </c>
      <c r="F298" s="239"/>
      <c r="G298" s="239" t="s">
        <v>245</v>
      </c>
      <c r="H298" s="84" t="s">
        <v>983</v>
      </c>
      <c r="I298" s="239" t="s">
        <v>886</v>
      </c>
      <c r="J298" s="239" t="s">
        <v>318</v>
      </c>
      <c r="K298" s="118" t="s">
        <v>896</v>
      </c>
      <c r="L298" s="239"/>
      <c r="M298" s="265">
        <v>1967</v>
      </c>
      <c r="N298" s="239" t="s">
        <v>889</v>
      </c>
      <c r="O298" s="239">
        <v>9</v>
      </c>
      <c r="P298" s="239">
        <v>0</v>
      </c>
      <c r="Q298" s="239">
        <v>4</v>
      </c>
      <c r="R298" s="239">
        <v>231</v>
      </c>
      <c r="S298" s="266">
        <f t="shared" si="9"/>
        <v>11380.2</v>
      </c>
      <c r="T298" s="267">
        <v>11380.2</v>
      </c>
      <c r="U298" s="267">
        <v>11253.4</v>
      </c>
      <c r="V298" s="267">
        <v>0</v>
      </c>
      <c r="W298" s="268" t="s">
        <v>218</v>
      </c>
      <c r="X298" s="268" t="s">
        <v>218</v>
      </c>
      <c r="Y298" s="269" t="s">
        <v>218</v>
      </c>
      <c r="Z298" s="270" t="s">
        <v>218</v>
      </c>
      <c r="AA298" s="268" t="s">
        <v>218</v>
      </c>
      <c r="AB298" s="268" t="s">
        <v>218</v>
      </c>
      <c r="AC298" s="269" t="s">
        <v>219</v>
      </c>
      <c r="AD298" s="268" t="s">
        <v>218</v>
      </c>
      <c r="AE298" s="269" t="s">
        <v>219</v>
      </c>
      <c r="AF298" s="268">
        <v>4</v>
      </c>
      <c r="AG298" s="239">
        <v>2</v>
      </c>
      <c r="AH298" s="239"/>
      <c r="AI298" s="239">
        <v>1</v>
      </c>
      <c r="AJ298" s="239">
        <v>1</v>
      </c>
      <c r="AK298" s="81"/>
      <c r="AL298" s="81"/>
    </row>
    <row r="299" spans="1:38" s="83" customFormat="1" ht="32.25" customHeight="1" x14ac:dyDescent="0.3">
      <c r="A299" s="5">
        <v>292</v>
      </c>
      <c r="B299" s="84" t="s">
        <v>196</v>
      </c>
      <c r="C299" s="81"/>
      <c r="D299" s="263" t="s">
        <v>371</v>
      </c>
      <c r="E299" s="239">
        <v>20</v>
      </c>
      <c r="F299" s="239">
        <v>1</v>
      </c>
      <c r="G299" s="239" t="s">
        <v>245</v>
      </c>
      <c r="H299" s="84" t="s">
        <v>984</v>
      </c>
      <c r="I299" s="239" t="s">
        <v>247</v>
      </c>
      <c r="J299" s="239"/>
      <c r="K299" s="118" t="s">
        <v>356</v>
      </c>
      <c r="L299" s="239"/>
      <c r="M299" s="239">
        <v>1969</v>
      </c>
      <c r="N299" s="239" t="s">
        <v>889</v>
      </c>
      <c r="O299" s="239">
        <v>9</v>
      </c>
      <c r="P299" s="239">
        <v>0</v>
      </c>
      <c r="Q299" s="239">
        <v>7</v>
      </c>
      <c r="R299" s="239">
        <v>372</v>
      </c>
      <c r="S299" s="266">
        <f t="shared" si="9"/>
        <v>17135.68</v>
      </c>
      <c r="T299" s="267">
        <v>17135.68</v>
      </c>
      <c r="U299" s="267">
        <v>16888.46</v>
      </c>
      <c r="V299" s="267">
        <v>0</v>
      </c>
      <c r="W299" s="268" t="s">
        <v>218</v>
      </c>
      <c r="X299" s="268" t="s">
        <v>218</v>
      </c>
      <c r="Y299" s="269" t="s">
        <v>218</v>
      </c>
      <c r="Z299" s="270" t="s">
        <v>218</v>
      </c>
      <c r="AA299" s="268" t="s">
        <v>218</v>
      </c>
      <c r="AB299" s="268" t="s">
        <v>218</v>
      </c>
      <c r="AC299" s="269" t="s">
        <v>219</v>
      </c>
      <c r="AD299" s="268" t="s">
        <v>218</v>
      </c>
      <c r="AE299" s="269" t="s">
        <v>219</v>
      </c>
      <c r="AF299" s="268">
        <v>7</v>
      </c>
      <c r="AG299" s="239">
        <v>2</v>
      </c>
      <c r="AH299" s="239"/>
      <c r="AI299" s="239">
        <v>1</v>
      </c>
      <c r="AJ299" s="239">
        <v>1</v>
      </c>
      <c r="AK299" s="81"/>
      <c r="AL299" s="81"/>
    </row>
    <row r="300" spans="1:38" s="83" customFormat="1" ht="32.25" customHeight="1" x14ac:dyDescent="0.3">
      <c r="A300" s="80">
        <v>293</v>
      </c>
      <c r="B300" s="84" t="s">
        <v>196</v>
      </c>
      <c r="C300" s="81"/>
      <c r="D300" s="263" t="s">
        <v>371</v>
      </c>
      <c r="E300" s="239">
        <v>22</v>
      </c>
      <c r="F300" s="239">
        <v>1</v>
      </c>
      <c r="G300" s="239" t="s">
        <v>245</v>
      </c>
      <c r="H300" s="84" t="s">
        <v>985</v>
      </c>
      <c r="I300" s="239" t="s">
        <v>886</v>
      </c>
      <c r="J300" s="239"/>
      <c r="K300" s="118" t="s">
        <v>895</v>
      </c>
      <c r="L300" s="239"/>
      <c r="M300" s="239">
        <v>1966</v>
      </c>
      <c r="N300" s="239" t="s">
        <v>889</v>
      </c>
      <c r="O300" s="239">
        <v>5</v>
      </c>
      <c r="P300" s="239">
        <v>0</v>
      </c>
      <c r="Q300" s="239">
        <v>6</v>
      </c>
      <c r="R300" s="239">
        <v>118</v>
      </c>
      <c r="S300" s="266">
        <f t="shared" si="9"/>
        <v>5479.7</v>
      </c>
      <c r="T300" s="267">
        <v>5479.7</v>
      </c>
      <c r="U300" s="267">
        <v>5391</v>
      </c>
      <c r="V300" s="267">
        <v>0</v>
      </c>
      <c r="W300" s="268" t="s">
        <v>218</v>
      </c>
      <c r="X300" s="268" t="s">
        <v>218</v>
      </c>
      <c r="Y300" s="269" t="s">
        <v>218</v>
      </c>
      <c r="Z300" s="270" t="s">
        <v>218</v>
      </c>
      <c r="AA300" s="268" t="s">
        <v>218</v>
      </c>
      <c r="AB300" s="268" t="s">
        <v>218</v>
      </c>
      <c r="AC300" s="269" t="s">
        <v>219</v>
      </c>
      <c r="AD300" s="268" t="s">
        <v>218</v>
      </c>
      <c r="AE300" s="269" t="s">
        <v>219</v>
      </c>
      <c r="AF300" s="268">
        <v>0</v>
      </c>
      <c r="AG300" s="239">
        <v>1</v>
      </c>
      <c r="AH300" s="239"/>
      <c r="AI300" s="239">
        <v>1</v>
      </c>
      <c r="AJ300" s="239">
        <v>1</v>
      </c>
      <c r="AK300" s="81"/>
      <c r="AL300" s="81"/>
    </row>
    <row r="301" spans="1:38" s="83" customFormat="1" ht="32.25" customHeight="1" x14ac:dyDescent="0.3">
      <c r="A301" s="5">
        <v>294</v>
      </c>
      <c r="B301" s="84" t="s">
        <v>196</v>
      </c>
      <c r="C301" s="81"/>
      <c r="D301" s="263" t="s">
        <v>371</v>
      </c>
      <c r="E301" s="239">
        <v>22</v>
      </c>
      <c r="F301" s="239">
        <v>2</v>
      </c>
      <c r="G301" s="239" t="s">
        <v>245</v>
      </c>
      <c r="H301" s="84" t="s">
        <v>986</v>
      </c>
      <c r="I301" s="239" t="s">
        <v>886</v>
      </c>
      <c r="J301" s="239" t="s">
        <v>887</v>
      </c>
      <c r="K301" s="118" t="s">
        <v>895</v>
      </c>
      <c r="L301" s="239"/>
      <c r="M301" s="239">
        <v>1966</v>
      </c>
      <c r="N301" s="239" t="s">
        <v>889</v>
      </c>
      <c r="O301" s="239">
        <v>5</v>
      </c>
      <c r="P301" s="239">
        <v>0</v>
      </c>
      <c r="Q301" s="239">
        <v>6</v>
      </c>
      <c r="R301" s="239">
        <v>118</v>
      </c>
      <c r="S301" s="266">
        <f t="shared" si="9"/>
        <v>5509.1</v>
      </c>
      <c r="T301" s="267">
        <v>5509.1</v>
      </c>
      <c r="U301" s="267">
        <v>5430.87</v>
      </c>
      <c r="V301" s="267">
        <v>0</v>
      </c>
      <c r="W301" s="268" t="s">
        <v>218</v>
      </c>
      <c r="X301" s="268" t="s">
        <v>218</v>
      </c>
      <c r="Y301" s="269" t="s">
        <v>218</v>
      </c>
      <c r="Z301" s="270" t="s">
        <v>218</v>
      </c>
      <c r="AA301" s="268" t="s">
        <v>218</v>
      </c>
      <c r="AB301" s="268" t="s">
        <v>218</v>
      </c>
      <c r="AC301" s="269" t="s">
        <v>219</v>
      </c>
      <c r="AD301" s="268" t="s">
        <v>218</v>
      </c>
      <c r="AE301" s="269" t="s">
        <v>219</v>
      </c>
      <c r="AF301" s="268">
        <v>0</v>
      </c>
      <c r="AG301" s="239">
        <v>1</v>
      </c>
      <c r="AH301" s="239"/>
      <c r="AI301" s="239">
        <v>1</v>
      </c>
      <c r="AJ301" s="239">
        <v>1</v>
      </c>
      <c r="AK301" s="81"/>
      <c r="AL301" s="81"/>
    </row>
    <row r="302" spans="1:38" s="83" customFormat="1" ht="32.25" customHeight="1" x14ac:dyDescent="0.3">
      <c r="A302" s="80">
        <v>295</v>
      </c>
      <c r="B302" s="84" t="s">
        <v>196</v>
      </c>
      <c r="C302" s="81"/>
      <c r="D302" s="263" t="s">
        <v>371</v>
      </c>
      <c r="E302" s="239">
        <v>24</v>
      </c>
      <c r="F302" s="239"/>
      <c r="G302" s="239" t="s">
        <v>245</v>
      </c>
      <c r="H302" s="84" t="s">
        <v>987</v>
      </c>
      <c r="I302" s="239" t="s">
        <v>886</v>
      </c>
      <c r="J302" s="239" t="s">
        <v>318</v>
      </c>
      <c r="K302" s="118" t="s">
        <v>369</v>
      </c>
      <c r="L302" s="239"/>
      <c r="M302" s="239">
        <v>1966</v>
      </c>
      <c r="N302" s="239" t="s">
        <v>889</v>
      </c>
      <c r="O302" s="239">
        <v>5</v>
      </c>
      <c r="P302" s="239">
        <v>0</v>
      </c>
      <c r="Q302" s="239">
        <v>6</v>
      </c>
      <c r="R302" s="239">
        <v>231</v>
      </c>
      <c r="S302" s="266">
        <f t="shared" si="9"/>
        <v>11204.22</v>
      </c>
      <c r="T302" s="267">
        <v>11204.22</v>
      </c>
      <c r="U302" s="267">
        <v>11079.83</v>
      </c>
      <c r="V302" s="267">
        <v>17.900000000000006</v>
      </c>
      <c r="W302" s="268" t="s">
        <v>218</v>
      </c>
      <c r="X302" s="268" t="s">
        <v>218</v>
      </c>
      <c r="Y302" s="269" t="s">
        <v>218</v>
      </c>
      <c r="Z302" s="270" t="s">
        <v>218</v>
      </c>
      <c r="AA302" s="268" t="s">
        <v>218</v>
      </c>
      <c r="AB302" s="268" t="s">
        <v>218</v>
      </c>
      <c r="AC302" s="269" t="s">
        <v>219</v>
      </c>
      <c r="AD302" s="268" t="s">
        <v>218</v>
      </c>
      <c r="AE302" s="269" t="s">
        <v>219</v>
      </c>
      <c r="AF302" s="268">
        <v>4</v>
      </c>
      <c r="AG302" s="239">
        <v>2</v>
      </c>
      <c r="AH302" s="239"/>
      <c r="AI302" s="239">
        <v>1</v>
      </c>
      <c r="AJ302" s="239">
        <v>1</v>
      </c>
      <c r="AK302" s="81"/>
      <c r="AL302" s="81"/>
    </row>
    <row r="303" spans="1:38" s="83" customFormat="1" ht="32.25" customHeight="1" x14ac:dyDescent="0.3">
      <c r="A303" s="5">
        <v>296</v>
      </c>
      <c r="B303" s="84" t="s">
        <v>196</v>
      </c>
      <c r="C303" s="81"/>
      <c r="D303" s="263" t="s">
        <v>371</v>
      </c>
      <c r="E303" s="239">
        <v>26</v>
      </c>
      <c r="F303" s="239">
        <v>2</v>
      </c>
      <c r="G303" s="239" t="s">
        <v>245</v>
      </c>
      <c r="H303" s="84" t="s">
        <v>988</v>
      </c>
      <c r="I303" s="239" t="s">
        <v>247</v>
      </c>
      <c r="J303" s="239"/>
      <c r="K303" s="118" t="s">
        <v>311</v>
      </c>
      <c r="L303" s="239"/>
      <c r="M303" s="239">
        <v>1964</v>
      </c>
      <c r="N303" s="239" t="s">
        <v>889</v>
      </c>
      <c r="O303" s="239">
        <v>5</v>
      </c>
      <c r="P303" s="239">
        <v>0</v>
      </c>
      <c r="Q303" s="239">
        <v>9</v>
      </c>
      <c r="R303" s="239">
        <v>134</v>
      </c>
      <c r="S303" s="266">
        <f t="shared" si="9"/>
        <v>6121.48</v>
      </c>
      <c r="T303" s="267">
        <v>6121.48</v>
      </c>
      <c r="U303" s="267">
        <v>6061.3</v>
      </c>
      <c r="V303" s="267">
        <v>0</v>
      </c>
      <c r="W303" s="268" t="s">
        <v>218</v>
      </c>
      <c r="X303" s="268" t="s">
        <v>218</v>
      </c>
      <c r="Y303" s="269" t="s">
        <v>218</v>
      </c>
      <c r="Z303" s="270" t="s">
        <v>218</v>
      </c>
      <c r="AA303" s="268" t="s">
        <v>218</v>
      </c>
      <c r="AB303" s="268" t="s">
        <v>218</v>
      </c>
      <c r="AC303" s="269" t="s">
        <v>219</v>
      </c>
      <c r="AD303" s="268" t="s">
        <v>218</v>
      </c>
      <c r="AE303" s="269" t="s">
        <v>219</v>
      </c>
      <c r="AF303" s="268">
        <v>0</v>
      </c>
      <c r="AG303" s="239">
        <v>1</v>
      </c>
      <c r="AH303" s="239"/>
      <c r="AI303" s="239">
        <v>1</v>
      </c>
      <c r="AJ303" s="239">
        <v>1</v>
      </c>
      <c r="AK303" s="81"/>
      <c r="AL303" s="81"/>
    </row>
    <row r="304" spans="1:38" s="83" customFormat="1" ht="32.25" customHeight="1" x14ac:dyDescent="0.3">
      <c r="A304" s="80">
        <v>297</v>
      </c>
      <c r="B304" s="84" t="s">
        <v>196</v>
      </c>
      <c r="C304" s="271"/>
      <c r="D304" s="272" t="s">
        <v>371</v>
      </c>
      <c r="E304" s="384">
        <v>26</v>
      </c>
      <c r="F304" s="384">
        <v>4</v>
      </c>
      <c r="G304" s="239" t="s">
        <v>245</v>
      </c>
      <c r="H304" s="84" t="s">
        <v>989</v>
      </c>
      <c r="I304" s="239" t="s">
        <v>886</v>
      </c>
      <c r="J304" s="243"/>
      <c r="K304" s="301" t="s">
        <v>311</v>
      </c>
      <c r="L304" s="243"/>
      <c r="M304" s="239">
        <v>1965</v>
      </c>
      <c r="N304" s="239" t="s">
        <v>889</v>
      </c>
      <c r="O304" s="239">
        <v>5</v>
      </c>
      <c r="P304" s="239">
        <v>0</v>
      </c>
      <c r="Q304" s="239">
        <v>9</v>
      </c>
      <c r="R304" s="243">
        <v>134</v>
      </c>
      <c r="S304" s="266">
        <f t="shared" si="9"/>
        <v>6092.8</v>
      </c>
      <c r="T304" s="267">
        <v>6092.8</v>
      </c>
      <c r="U304" s="267">
        <v>6034.4</v>
      </c>
      <c r="V304" s="267">
        <v>0</v>
      </c>
      <c r="W304" s="268" t="s">
        <v>218</v>
      </c>
      <c r="X304" s="268" t="s">
        <v>218</v>
      </c>
      <c r="Y304" s="269" t="s">
        <v>218</v>
      </c>
      <c r="Z304" s="270" t="s">
        <v>218</v>
      </c>
      <c r="AA304" s="268" t="s">
        <v>218</v>
      </c>
      <c r="AB304" s="268" t="s">
        <v>218</v>
      </c>
      <c r="AC304" s="269" t="s">
        <v>219</v>
      </c>
      <c r="AD304" s="268" t="s">
        <v>218</v>
      </c>
      <c r="AE304" s="269" t="s">
        <v>219</v>
      </c>
      <c r="AF304" s="273">
        <v>0</v>
      </c>
      <c r="AG304" s="243">
        <v>1</v>
      </c>
      <c r="AH304" s="243"/>
      <c r="AI304" s="243">
        <v>1</v>
      </c>
      <c r="AJ304" s="243">
        <v>1</v>
      </c>
      <c r="AK304" s="274"/>
      <c r="AL304" s="274"/>
    </row>
    <row r="305" spans="1:38" s="83" customFormat="1" ht="32.25" customHeight="1" x14ac:dyDescent="0.3">
      <c r="A305" s="5">
        <v>298</v>
      </c>
      <c r="B305" s="84" t="s">
        <v>196</v>
      </c>
      <c r="C305" s="115"/>
      <c r="D305" s="240" t="s">
        <v>371</v>
      </c>
      <c r="E305" s="239">
        <v>26</v>
      </c>
      <c r="F305" s="239">
        <v>5</v>
      </c>
      <c r="G305" s="239" t="s">
        <v>245</v>
      </c>
      <c r="H305" s="84" t="s">
        <v>990</v>
      </c>
      <c r="I305" s="239" t="s">
        <v>886</v>
      </c>
      <c r="J305" s="239"/>
      <c r="K305" s="118" t="s">
        <v>311</v>
      </c>
      <c r="L305" s="239"/>
      <c r="M305" s="239">
        <v>1966</v>
      </c>
      <c r="N305" s="239" t="s">
        <v>889</v>
      </c>
      <c r="O305" s="239">
        <v>5</v>
      </c>
      <c r="P305" s="239">
        <v>0</v>
      </c>
      <c r="Q305" s="239">
        <v>9</v>
      </c>
      <c r="R305" s="239">
        <v>134</v>
      </c>
      <c r="S305" s="266">
        <f t="shared" si="9"/>
        <v>6047.6</v>
      </c>
      <c r="T305" s="267">
        <v>6047.6</v>
      </c>
      <c r="U305" s="267">
        <v>5983.5</v>
      </c>
      <c r="V305" s="267">
        <v>0</v>
      </c>
      <c r="W305" s="268" t="s">
        <v>218</v>
      </c>
      <c r="X305" s="268" t="s">
        <v>218</v>
      </c>
      <c r="Y305" s="269" t="s">
        <v>218</v>
      </c>
      <c r="Z305" s="270" t="s">
        <v>218</v>
      </c>
      <c r="AA305" s="268" t="s">
        <v>218</v>
      </c>
      <c r="AB305" s="268" t="s">
        <v>218</v>
      </c>
      <c r="AC305" s="269" t="s">
        <v>219</v>
      </c>
      <c r="AD305" s="268" t="s">
        <v>218</v>
      </c>
      <c r="AE305" s="269" t="s">
        <v>219</v>
      </c>
      <c r="AF305" s="268">
        <v>0</v>
      </c>
      <c r="AG305" s="239">
        <v>1</v>
      </c>
      <c r="AH305" s="239"/>
      <c r="AI305" s="239">
        <v>1</v>
      </c>
      <c r="AJ305" s="239">
        <v>1</v>
      </c>
      <c r="AK305" s="81"/>
      <c r="AL305" s="81"/>
    </row>
    <row r="306" spans="1:38" s="83" customFormat="1" ht="32.25" customHeight="1" x14ac:dyDescent="0.3">
      <c r="A306" s="80">
        <v>299</v>
      </c>
      <c r="B306" s="84" t="s">
        <v>196</v>
      </c>
      <c r="C306" s="81"/>
      <c r="D306" s="240" t="s">
        <v>371</v>
      </c>
      <c r="E306" s="239">
        <v>28</v>
      </c>
      <c r="F306" s="239">
        <v>3</v>
      </c>
      <c r="G306" s="239" t="s">
        <v>245</v>
      </c>
      <c r="H306" s="84" t="s">
        <v>991</v>
      </c>
      <c r="I306" s="239" t="s">
        <v>886</v>
      </c>
      <c r="J306" s="239" t="s">
        <v>887</v>
      </c>
      <c r="K306" s="118" t="s">
        <v>897</v>
      </c>
      <c r="L306" s="239"/>
      <c r="M306" s="239">
        <v>1964</v>
      </c>
      <c r="N306" s="239" t="s">
        <v>889</v>
      </c>
      <c r="O306" s="239">
        <v>5</v>
      </c>
      <c r="P306" s="239">
        <v>0</v>
      </c>
      <c r="Q306" s="239">
        <v>9</v>
      </c>
      <c r="R306" s="239">
        <v>90</v>
      </c>
      <c r="S306" s="266">
        <f t="shared" si="9"/>
        <v>4078.3</v>
      </c>
      <c r="T306" s="267">
        <v>4078.3</v>
      </c>
      <c r="U306" s="267">
        <v>4022</v>
      </c>
      <c r="V306" s="267">
        <v>0</v>
      </c>
      <c r="W306" s="268" t="s">
        <v>218</v>
      </c>
      <c r="X306" s="268" t="s">
        <v>218</v>
      </c>
      <c r="Y306" s="269" t="s">
        <v>218</v>
      </c>
      <c r="Z306" s="270" t="s">
        <v>218</v>
      </c>
      <c r="AA306" s="268" t="s">
        <v>218</v>
      </c>
      <c r="AB306" s="268" t="s">
        <v>218</v>
      </c>
      <c r="AC306" s="269" t="s">
        <v>219</v>
      </c>
      <c r="AD306" s="268" t="s">
        <v>218</v>
      </c>
      <c r="AE306" s="269" t="s">
        <v>219</v>
      </c>
      <c r="AF306" s="268">
        <v>0</v>
      </c>
      <c r="AG306" s="239">
        <v>1</v>
      </c>
      <c r="AH306" s="239"/>
      <c r="AI306" s="239">
        <v>1</v>
      </c>
      <c r="AJ306" s="239">
        <v>1</v>
      </c>
      <c r="AK306" s="81"/>
      <c r="AL306" s="81"/>
    </row>
    <row r="307" spans="1:38" s="83" customFormat="1" ht="32.25" customHeight="1" x14ac:dyDescent="0.3">
      <c r="A307" s="5">
        <v>300</v>
      </c>
      <c r="B307" s="84" t="s">
        <v>196</v>
      </c>
      <c r="C307" s="81"/>
      <c r="D307" s="240" t="s">
        <v>371</v>
      </c>
      <c r="E307" s="239">
        <v>28</v>
      </c>
      <c r="F307" s="239">
        <v>4</v>
      </c>
      <c r="G307" s="239" t="s">
        <v>245</v>
      </c>
      <c r="H307" s="84" t="s">
        <v>992</v>
      </c>
      <c r="I307" s="239" t="s">
        <v>247</v>
      </c>
      <c r="J307" s="239"/>
      <c r="K307" s="118" t="s">
        <v>315</v>
      </c>
      <c r="L307" s="239"/>
      <c r="M307" s="239">
        <v>1964</v>
      </c>
      <c r="N307" s="239" t="s">
        <v>889</v>
      </c>
      <c r="O307" s="239">
        <v>5</v>
      </c>
      <c r="P307" s="239">
        <v>0</v>
      </c>
      <c r="Q307" s="239">
        <v>6</v>
      </c>
      <c r="R307" s="239">
        <v>90</v>
      </c>
      <c r="S307" s="266">
        <f t="shared" si="9"/>
        <v>4074.8</v>
      </c>
      <c r="T307" s="267">
        <v>4074.8</v>
      </c>
      <c r="U307" s="267">
        <v>4019.8</v>
      </c>
      <c r="V307" s="267">
        <v>0</v>
      </c>
      <c r="W307" s="268" t="s">
        <v>218</v>
      </c>
      <c r="X307" s="268" t="s">
        <v>218</v>
      </c>
      <c r="Y307" s="269" t="s">
        <v>218</v>
      </c>
      <c r="Z307" s="270" t="s">
        <v>218</v>
      </c>
      <c r="AA307" s="268" t="s">
        <v>218</v>
      </c>
      <c r="AB307" s="268" t="s">
        <v>218</v>
      </c>
      <c r="AC307" s="269" t="s">
        <v>219</v>
      </c>
      <c r="AD307" s="268" t="s">
        <v>218</v>
      </c>
      <c r="AE307" s="269" t="s">
        <v>219</v>
      </c>
      <c r="AF307" s="268">
        <v>0</v>
      </c>
      <c r="AG307" s="239">
        <v>1</v>
      </c>
      <c r="AH307" s="239"/>
      <c r="AI307" s="239">
        <v>1</v>
      </c>
      <c r="AJ307" s="239">
        <v>1</v>
      </c>
      <c r="AK307" s="81"/>
      <c r="AL307" s="81"/>
    </row>
    <row r="308" spans="1:38" s="83" customFormat="1" ht="32.25" customHeight="1" x14ac:dyDescent="0.3">
      <c r="A308" s="80">
        <v>301</v>
      </c>
      <c r="B308" s="84" t="s">
        <v>196</v>
      </c>
      <c r="C308" s="81"/>
      <c r="D308" s="240" t="s">
        <v>371</v>
      </c>
      <c r="E308" s="239">
        <v>28</v>
      </c>
      <c r="F308" s="239">
        <v>5</v>
      </c>
      <c r="G308" s="239" t="s">
        <v>245</v>
      </c>
      <c r="H308" s="84" t="s">
        <v>993</v>
      </c>
      <c r="I308" s="239" t="s">
        <v>886</v>
      </c>
      <c r="J308" s="239"/>
      <c r="K308" s="118" t="s">
        <v>315</v>
      </c>
      <c r="L308" s="239"/>
      <c r="M308" s="239">
        <v>1964</v>
      </c>
      <c r="N308" s="239" t="s">
        <v>889</v>
      </c>
      <c r="O308" s="239">
        <v>5</v>
      </c>
      <c r="P308" s="239">
        <v>0</v>
      </c>
      <c r="Q308" s="239">
        <v>6</v>
      </c>
      <c r="R308" s="239">
        <v>90</v>
      </c>
      <c r="S308" s="266">
        <f t="shared" si="9"/>
        <v>4081.5</v>
      </c>
      <c r="T308" s="267">
        <v>4081.5</v>
      </c>
      <c r="U308" s="267">
        <v>4025</v>
      </c>
      <c r="V308" s="267">
        <v>0</v>
      </c>
      <c r="W308" s="268" t="s">
        <v>218</v>
      </c>
      <c r="X308" s="268" t="s">
        <v>218</v>
      </c>
      <c r="Y308" s="269" t="s">
        <v>218</v>
      </c>
      <c r="Z308" s="270" t="s">
        <v>218</v>
      </c>
      <c r="AA308" s="268" t="s">
        <v>218</v>
      </c>
      <c r="AB308" s="268" t="s">
        <v>218</v>
      </c>
      <c r="AC308" s="269" t="s">
        <v>219</v>
      </c>
      <c r="AD308" s="268" t="s">
        <v>218</v>
      </c>
      <c r="AE308" s="269" t="s">
        <v>219</v>
      </c>
      <c r="AF308" s="268">
        <v>0</v>
      </c>
      <c r="AG308" s="239">
        <v>1</v>
      </c>
      <c r="AH308" s="239"/>
      <c r="AI308" s="239">
        <v>1</v>
      </c>
      <c r="AJ308" s="239">
        <v>1</v>
      </c>
      <c r="AK308" s="81"/>
      <c r="AL308" s="81"/>
    </row>
    <row r="309" spans="1:38" s="83" customFormat="1" ht="32.25" customHeight="1" x14ac:dyDescent="0.3">
      <c r="A309" s="5">
        <v>302</v>
      </c>
      <c r="B309" s="84" t="s">
        <v>196</v>
      </c>
      <c r="C309" s="81"/>
      <c r="D309" s="240" t="s">
        <v>371</v>
      </c>
      <c r="E309" s="239">
        <v>28</v>
      </c>
      <c r="F309" s="239">
        <v>6</v>
      </c>
      <c r="G309" s="239" t="s">
        <v>245</v>
      </c>
      <c r="H309" s="84" t="s">
        <v>994</v>
      </c>
      <c r="I309" s="239" t="s">
        <v>886</v>
      </c>
      <c r="J309" s="239" t="s">
        <v>887</v>
      </c>
      <c r="K309" s="118" t="s">
        <v>315</v>
      </c>
      <c r="L309" s="239"/>
      <c r="M309" s="239">
        <v>1964</v>
      </c>
      <c r="N309" s="239" t="s">
        <v>889</v>
      </c>
      <c r="O309" s="239">
        <v>5</v>
      </c>
      <c r="P309" s="239">
        <v>0</v>
      </c>
      <c r="Q309" s="239">
        <v>9</v>
      </c>
      <c r="R309" s="239">
        <v>134</v>
      </c>
      <c r="S309" s="266">
        <f t="shared" si="9"/>
        <v>6131.3</v>
      </c>
      <c r="T309" s="267">
        <v>6131.3</v>
      </c>
      <c r="U309" s="267">
        <v>6086</v>
      </c>
      <c r="V309" s="267">
        <v>0</v>
      </c>
      <c r="W309" s="268" t="s">
        <v>218</v>
      </c>
      <c r="X309" s="268" t="s">
        <v>218</v>
      </c>
      <c r="Y309" s="269" t="s">
        <v>218</v>
      </c>
      <c r="Z309" s="270" t="s">
        <v>218</v>
      </c>
      <c r="AA309" s="268" t="s">
        <v>218</v>
      </c>
      <c r="AB309" s="268" t="s">
        <v>218</v>
      </c>
      <c r="AC309" s="269" t="s">
        <v>219</v>
      </c>
      <c r="AD309" s="268" t="s">
        <v>218</v>
      </c>
      <c r="AE309" s="269" t="s">
        <v>219</v>
      </c>
      <c r="AF309" s="268">
        <v>0</v>
      </c>
      <c r="AG309" s="239">
        <v>1</v>
      </c>
      <c r="AH309" s="239"/>
      <c r="AI309" s="239">
        <v>1</v>
      </c>
      <c r="AJ309" s="239">
        <v>1</v>
      </c>
      <c r="AK309" s="81"/>
      <c r="AL309" s="81"/>
    </row>
    <row r="310" spans="1:38" s="83" customFormat="1" ht="32.25" customHeight="1" x14ac:dyDescent="0.3">
      <c r="A310" s="80">
        <v>303</v>
      </c>
      <c r="B310" s="84" t="s">
        <v>196</v>
      </c>
      <c r="C310" s="81"/>
      <c r="D310" s="240" t="s">
        <v>371</v>
      </c>
      <c r="E310" s="239">
        <v>42</v>
      </c>
      <c r="F310" s="239">
        <v>1</v>
      </c>
      <c r="G310" s="239" t="s">
        <v>245</v>
      </c>
      <c r="H310" s="84" t="s">
        <v>995</v>
      </c>
      <c r="I310" s="239" t="s">
        <v>886</v>
      </c>
      <c r="J310" s="239" t="s">
        <v>318</v>
      </c>
      <c r="K310" s="118" t="s">
        <v>368</v>
      </c>
      <c r="L310" s="239"/>
      <c r="M310" s="239">
        <v>1968</v>
      </c>
      <c r="N310" s="239" t="s">
        <v>889</v>
      </c>
      <c r="O310" s="239">
        <v>9</v>
      </c>
      <c r="P310" s="239">
        <v>0</v>
      </c>
      <c r="Q310" s="239">
        <v>1</v>
      </c>
      <c r="R310" s="239">
        <v>45</v>
      </c>
      <c r="S310" s="266">
        <f t="shared" si="9"/>
        <v>2016.62</v>
      </c>
      <c r="T310" s="267">
        <v>2016.62</v>
      </c>
      <c r="U310" s="267">
        <v>1956.42</v>
      </c>
      <c r="V310" s="267">
        <v>0</v>
      </c>
      <c r="W310" s="268" t="s">
        <v>218</v>
      </c>
      <c r="X310" s="268" t="s">
        <v>218</v>
      </c>
      <c r="Y310" s="269" t="s">
        <v>218</v>
      </c>
      <c r="Z310" s="270" t="s">
        <v>218</v>
      </c>
      <c r="AA310" s="268" t="s">
        <v>218</v>
      </c>
      <c r="AB310" s="268" t="s">
        <v>218</v>
      </c>
      <c r="AC310" s="269" t="s">
        <v>219</v>
      </c>
      <c r="AD310" s="268" t="s">
        <v>218</v>
      </c>
      <c r="AE310" s="269" t="s">
        <v>219</v>
      </c>
      <c r="AF310" s="268">
        <v>1</v>
      </c>
      <c r="AG310" s="239">
        <v>2</v>
      </c>
      <c r="AH310" s="239"/>
      <c r="AI310" s="239">
        <v>1</v>
      </c>
      <c r="AJ310" s="239">
        <v>1</v>
      </c>
      <c r="AK310" s="81"/>
      <c r="AL310" s="81"/>
    </row>
    <row r="311" spans="1:38" s="83" customFormat="1" ht="32.25" customHeight="1" x14ac:dyDescent="0.3">
      <c r="A311" s="5">
        <v>304</v>
      </c>
      <c r="B311" s="84" t="s">
        <v>196</v>
      </c>
      <c r="C311" s="81"/>
      <c r="D311" s="240" t="s">
        <v>371</v>
      </c>
      <c r="E311" s="239">
        <v>44</v>
      </c>
      <c r="F311" s="239">
        <v>1</v>
      </c>
      <c r="G311" s="239" t="s">
        <v>245</v>
      </c>
      <c r="H311" s="84" t="s">
        <v>996</v>
      </c>
      <c r="I311" s="239" t="s">
        <v>886</v>
      </c>
      <c r="J311" s="239" t="s">
        <v>887</v>
      </c>
      <c r="K311" s="118" t="s">
        <v>898</v>
      </c>
      <c r="L311" s="239"/>
      <c r="M311" s="239">
        <v>1965</v>
      </c>
      <c r="N311" s="239" t="s">
        <v>889</v>
      </c>
      <c r="O311" s="239">
        <v>5</v>
      </c>
      <c r="P311" s="239">
        <v>0</v>
      </c>
      <c r="Q311" s="239">
        <v>9</v>
      </c>
      <c r="R311" s="239">
        <v>159</v>
      </c>
      <c r="S311" s="266">
        <f t="shared" si="9"/>
        <v>6081.73</v>
      </c>
      <c r="T311" s="267">
        <v>6081.73</v>
      </c>
      <c r="U311" s="267">
        <v>6027.13</v>
      </c>
      <c r="V311" s="267">
        <v>0</v>
      </c>
      <c r="W311" s="268" t="s">
        <v>218</v>
      </c>
      <c r="X311" s="268" t="s">
        <v>218</v>
      </c>
      <c r="Y311" s="269" t="s">
        <v>218</v>
      </c>
      <c r="Z311" s="270" t="s">
        <v>218</v>
      </c>
      <c r="AA311" s="268" t="s">
        <v>218</v>
      </c>
      <c r="AB311" s="268" t="s">
        <v>218</v>
      </c>
      <c r="AC311" s="269" t="s">
        <v>219</v>
      </c>
      <c r="AD311" s="268" t="s">
        <v>218</v>
      </c>
      <c r="AE311" s="269" t="s">
        <v>219</v>
      </c>
      <c r="AF311" s="268">
        <v>0</v>
      </c>
      <c r="AG311" s="239">
        <v>1</v>
      </c>
      <c r="AH311" s="239"/>
      <c r="AI311" s="239">
        <v>1</v>
      </c>
      <c r="AJ311" s="239">
        <v>1</v>
      </c>
      <c r="AK311" s="81"/>
      <c r="AL311" s="81"/>
    </row>
    <row r="312" spans="1:38" s="83" customFormat="1" ht="32.25" customHeight="1" x14ac:dyDescent="0.3">
      <c r="A312" s="80">
        <v>305</v>
      </c>
      <c r="B312" s="84" t="s">
        <v>196</v>
      </c>
      <c r="C312" s="81"/>
      <c r="D312" s="240" t="s">
        <v>371</v>
      </c>
      <c r="E312" s="239">
        <v>44</v>
      </c>
      <c r="F312" s="239"/>
      <c r="G312" s="239" t="s">
        <v>245</v>
      </c>
      <c r="H312" s="84" t="s">
        <v>997</v>
      </c>
      <c r="I312" s="239" t="s">
        <v>886</v>
      </c>
      <c r="J312" s="239" t="s">
        <v>887</v>
      </c>
      <c r="K312" s="118" t="s">
        <v>890</v>
      </c>
      <c r="L312" s="239"/>
      <c r="M312" s="239">
        <v>1969</v>
      </c>
      <c r="N312" s="239" t="s">
        <v>889</v>
      </c>
      <c r="O312" s="239">
        <v>5</v>
      </c>
      <c r="P312" s="239">
        <v>0</v>
      </c>
      <c r="Q312" s="239">
        <v>8</v>
      </c>
      <c r="R312" s="239">
        <v>134</v>
      </c>
      <c r="S312" s="266">
        <f t="shared" si="9"/>
        <v>7030.9</v>
      </c>
      <c r="T312" s="267">
        <v>7030.9</v>
      </c>
      <c r="U312" s="267">
        <v>6971.9</v>
      </c>
      <c r="V312" s="267">
        <v>0</v>
      </c>
      <c r="W312" s="268" t="s">
        <v>218</v>
      </c>
      <c r="X312" s="268" t="s">
        <v>218</v>
      </c>
      <c r="Y312" s="269" t="s">
        <v>218</v>
      </c>
      <c r="Z312" s="270" t="s">
        <v>218</v>
      </c>
      <c r="AA312" s="268" t="s">
        <v>218</v>
      </c>
      <c r="AB312" s="268" t="s">
        <v>218</v>
      </c>
      <c r="AC312" s="269" t="s">
        <v>219</v>
      </c>
      <c r="AD312" s="268" t="s">
        <v>218</v>
      </c>
      <c r="AE312" s="269" t="s">
        <v>219</v>
      </c>
      <c r="AF312" s="268">
        <v>0</v>
      </c>
      <c r="AG312" s="239">
        <v>1</v>
      </c>
      <c r="AH312" s="239"/>
      <c r="AI312" s="239">
        <v>1</v>
      </c>
      <c r="AJ312" s="239">
        <v>1</v>
      </c>
      <c r="AK312" s="81"/>
      <c r="AL312" s="81"/>
    </row>
    <row r="313" spans="1:38" s="83" customFormat="1" ht="32.25" customHeight="1" x14ac:dyDescent="0.3">
      <c r="A313" s="5">
        <v>306</v>
      </c>
      <c r="B313" s="84" t="s">
        <v>196</v>
      </c>
      <c r="C313" s="81"/>
      <c r="D313" s="240" t="s">
        <v>371</v>
      </c>
      <c r="E313" s="239">
        <v>6</v>
      </c>
      <c r="F313" s="239">
        <v>1</v>
      </c>
      <c r="G313" s="239" t="s">
        <v>245</v>
      </c>
      <c r="H313" s="84" t="s">
        <v>998</v>
      </c>
      <c r="I313" s="239" t="s">
        <v>886</v>
      </c>
      <c r="J313" s="239"/>
      <c r="K313" s="118" t="s">
        <v>899</v>
      </c>
      <c r="L313" s="239"/>
      <c r="M313" s="239">
        <v>1971</v>
      </c>
      <c r="N313" s="239" t="s">
        <v>889</v>
      </c>
      <c r="O313" s="239">
        <v>9</v>
      </c>
      <c r="P313" s="239">
        <v>0</v>
      </c>
      <c r="Q313" s="239">
        <v>9</v>
      </c>
      <c r="R313" s="239">
        <v>324</v>
      </c>
      <c r="S313" s="266">
        <f t="shared" si="9"/>
        <v>17698.78</v>
      </c>
      <c r="T313" s="267">
        <v>17698.78</v>
      </c>
      <c r="U313" s="267">
        <v>17578.16</v>
      </c>
      <c r="V313" s="267">
        <v>0</v>
      </c>
      <c r="W313" s="268" t="s">
        <v>218</v>
      </c>
      <c r="X313" s="268" t="s">
        <v>218</v>
      </c>
      <c r="Y313" s="269" t="s">
        <v>218</v>
      </c>
      <c r="Z313" s="270" t="s">
        <v>218</v>
      </c>
      <c r="AA313" s="268" t="s">
        <v>218</v>
      </c>
      <c r="AB313" s="268" t="s">
        <v>218</v>
      </c>
      <c r="AC313" s="269" t="s">
        <v>219</v>
      </c>
      <c r="AD313" s="268" t="s">
        <v>218</v>
      </c>
      <c r="AE313" s="269" t="s">
        <v>219</v>
      </c>
      <c r="AF313" s="268">
        <v>9</v>
      </c>
      <c r="AG313" s="239">
        <v>2</v>
      </c>
      <c r="AH313" s="239"/>
      <c r="AI313" s="239">
        <v>1</v>
      </c>
      <c r="AJ313" s="239">
        <v>1</v>
      </c>
      <c r="AK313" s="81"/>
      <c r="AL313" s="81"/>
    </row>
    <row r="314" spans="1:38" s="83" customFormat="1" ht="32.25" customHeight="1" x14ac:dyDescent="0.3">
      <c r="A314" s="80">
        <v>307</v>
      </c>
      <c r="B314" s="84" t="s">
        <v>196</v>
      </c>
      <c r="C314" s="81"/>
      <c r="D314" s="240" t="s">
        <v>371</v>
      </c>
      <c r="E314" s="239">
        <v>6</v>
      </c>
      <c r="F314" s="239">
        <v>2</v>
      </c>
      <c r="G314" s="239" t="s">
        <v>245</v>
      </c>
      <c r="H314" s="84" t="s">
        <v>999</v>
      </c>
      <c r="I314" s="239" t="s">
        <v>886</v>
      </c>
      <c r="J314" s="239" t="s">
        <v>216</v>
      </c>
      <c r="K314" s="118" t="s">
        <v>900</v>
      </c>
      <c r="L314" s="239"/>
      <c r="M314" s="239">
        <v>1971</v>
      </c>
      <c r="N314" s="239" t="s">
        <v>889</v>
      </c>
      <c r="O314" s="239">
        <v>9</v>
      </c>
      <c r="P314" s="239">
        <v>0</v>
      </c>
      <c r="Q314" s="239">
        <v>7</v>
      </c>
      <c r="R314" s="239">
        <v>252</v>
      </c>
      <c r="S314" s="266">
        <f t="shared" si="9"/>
        <v>13534.12</v>
      </c>
      <c r="T314" s="267">
        <v>13534.12</v>
      </c>
      <c r="U314" s="267">
        <v>13367.8</v>
      </c>
      <c r="V314" s="267">
        <v>0</v>
      </c>
      <c r="W314" s="268" t="s">
        <v>218</v>
      </c>
      <c r="X314" s="268" t="s">
        <v>218</v>
      </c>
      <c r="Y314" s="269" t="s">
        <v>218</v>
      </c>
      <c r="Z314" s="270" t="s">
        <v>218</v>
      </c>
      <c r="AA314" s="268" t="s">
        <v>218</v>
      </c>
      <c r="AB314" s="268" t="s">
        <v>218</v>
      </c>
      <c r="AC314" s="269" t="s">
        <v>219</v>
      </c>
      <c r="AD314" s="268" t="s">
        <v>218</v>
      </c>
      <c r="AE314" s="269" t="s">
        <v>219</v>
      </c>
      <c r="AF314" s="268">
        <v>7</v>
      </c>
      <c r="AG314" s="239">
        <v>2</v>
      </c>
      <c r="AH314" s="239"/>
      <c r="AI314" s="239">
        <v>1</v>
      </c>
      <c r="AJ314" s="239">
        <v>1</v>
      </c>
      <c r="AK314" s="81"/>
      <c r="AL314" s="81"/>
    </row>
    <row r="315" spans="1:38" s="83" customFormat="1" ht="32.25" customHeight="1" x14ac:dyDescent="0.3">
      <c r="A315" s="5">
        <v>308</v>
      </c>
      <c r="B315" s="84" t="s">
        <v>196</v>
      </c>
      <c r="C315" s="81"/>
      <c r="D315" s="240" t="s">
        <v>371</v>
      </c>
      <c r="E315" s="239">
        <v>6</v>
      </c>
      <c r="F315" s="239">
        <v>7</v>
      </c>
      <c r="G315" s="239" t="s">
        <v>245</v>
      </c>
      <c r="H315" s="84" t="s">
        <v>1000</v>
      </c>
      <c r="I315" s="239" t="s">
        <v>247</v>
      </c>
      <c r="J315" s="239"/>
      <c r="K315" s="118" t="s">
        <v>901</v>
      </c>
      <c r="L315" s="239"/>
      <c r="M315" s="239">
        <v>1991</v>
      </c>
      <c r="N315" s="239" t="s">
        <v>889</v>
      </c>
      <c r="O315" s="239">
        <v>10</v>
      </c>
      <c r="P315" s="239">
        <v>0</v>
      </c>
      <c r="Q315" s="239">
        <v>2</v>
      </c>
      <c r="R315" s="239">
        <v>79</v>
      </c>
      <c r="S315" s="266">
        <f t="shared" si="9"/>
        <v>4779.3999999999996</v>
      </c>
      <c r="T315" s="267">
        <v>4779.3999999999996</v>
      </c>
      <c r="U315" s="267">
        <v>4680.8</v>
      </c>
      <c r="V315" s="267">
        <v>0</v>
      </c>
      <c r="W315" s="268" t="s">
        <v>218</v>
      </c>
      <c r="X315" s="268" t="s">
        <v>218</v>
      </c>
      <c r="Y315" s="269" t="s">
        <v>218</v>
      </c>
      <c r="Z315" s="270" t="s">
        <v>218</v>
      </c>
      <c r="AA315" s="268" t="s">
        <v>218</v>
      </c>
      <c r="AB315" s="268" t="s">
        <v>218</v>
      </c>
      <c r="AC315" s="269" t="s">
        <v>219</v>
      </c>
      <c r="AD315" s="268" t="s">
        <v>218</v>
      </c>
      <c r="AE315" s="269" t="s">
        <v>219</v>
      </c>
      <c r="AF315" s="268">
        <v>2</v>
      </c>
      <c r="AG315" s="239">
        <v>2</v>
      </c>
      <c r="AH315" s="239"/>
      <c r="AI315" s="239">
        <v>0</v>
      </c>
      <c r="AJ315" s="239">
        <v>0</v>
      </c>
      <c r="AK315" s="81"/>
      <c r="AL315" s="81"/>
    </row>
    <row r="316" spans="1:38" s="278" customFormat="1" ht="32.25" customHeight="1" x14ac:dyDescent="0.3">
      <c r="A316" s="80">
        <v>309</v>
      </c>
      <c r="B316" s="84" t="s">
        <v>196</v>
      </c>
      <c r="C316" s="275"/>
      <c r="D316" s="276" t="s">
        <v>371</v>
      </c>
      <c r="E316" s="277">
        <v>8</v>
      </c>
      <c r="F316" s="277">
        <v>1</v>
      </c>
      <c r="G316" s="239" t="s">
        <v>245</v>
      </c>
      <c r="H316" s="84" t="s">
        <v>1001</v>
      </c>
      <c r="I316" s="239" t="s">
        <v>886</v>
      </c>
      <c r="J316" s="277" t="s">
        <v>318</v>
      </c>
      <c r="K316" s="279" t="s">
        <v>902</v>
      </c>
      <c r="L316" s="277"/>
      <c r="M316" s="277">
        <v>1974</v>
      </c>
      <c r="N316" s="239" t="s">
        <v>889</v>
      </c>
      <c r="O316" s="277">
        <v>18</v>
      </c>
      <c r="P316" s="239">
        <v>0</v>
      </c>
      <c r="Q316" s="277">
        <v>2</v>
      </c>
      <c r="R316" s="277">
        <v>190</v>
      </c>
      <c r="S316" s="266">
        <f t="shared" si="9"/>
        <v>10058.1</v>
      </c>
      <c r="T316" s="267">
        <v>10058.1</v>
      </c>
      <c r="U316" s="267">
        <v>9617.2999999999993</v>
      </c>
      <c r="V316" s="267">
        <v>418.3</v>
      </c>
      <c r="W316" s="269" t="s">
        <v>218</v>
      </c>
      <c r="X316" s="269" t="s">
        <v>218</v>
      </c>
      <c r="Y316" s="269" t="s">
        <v>218</v>
      </c>
      <c r="Z316" s="270" t="s">
        <v>218</v>
      </c>
      <c r="AA316" s="269" t="s">
        <v>218</v>
      </c>
      <c r="AB316" s="269" t="s">
        <v>219</v>
      </c>
      <c r="AC316" s="269" t="s">
        <v>219</v>
      </c>
      <c r="AD316" s="269" t="s">
        <v>219</v>
      </c>
      <c r="AE316" s="269" t="s">
        <v>218</v>
      </c>
      <c r="AF316" s="269">
        <v>4</v>
      </c>
      <c r="AG316" s="277">
        <v>1</v>
      </c>
      <c r="AH316" s="277"/>
      <c r="AI316" s="277">
        <v>1</v>
      </c>
      <c r="AJ316" s="277">
        <v>1</v>
      </c>
      <c r="AK316" s="275"/>
      <c r="AL316" s="275"/>
    </row>
    <row r="317" spans="1:38" s="83" customFormat="1" ht="32.25" customHeight="1" x14ac:dyDescent="0.3">
      <c r="A317" s="5">
        <v>310</v>
      </c>
      <c r="B317" s="84" t="s">
        <v>196</v>
      </c>
      <c r="C317" s="81"/>
      <c r="D317" s="240" t="s">
        <v>1355</v>
      </c>
      <c r="E317" s="239">
        <v>100</v>
      </c>
      <c r="F317" s="239"/>
      <c r="G317" s="239" t="s">
        <v>245</v>
      </c>
      <c r="H317" s="84" t="s">
        <v>1002</v>
      </c>
      <c r="I317" s="239" t="s">
        <v>886</v>
      </c>
      <c r="J317" s="239" t="s">
        <v>887</v>
      </c>
      <c r="K317" s="118"/>
      <c r="L317" s="239"/>
      <c r="M317" s="265">
        <v>1917</v>
      </c>
      <c r="N317" s="239" t="s">
        <v>893</v>
      </c>
      <c r="O317" s="239">
        <v>4</v>
      </c>
      <c r="P317" s="239">
        <v>0</v>
      </c>
      <c r="Q317" s="239">
        <v>1</v>
      </c>
      <c r="R317" s="239">
        <v>12</v>
      </c>
      <c r="S317" s="266">
        <f t="shared" si="9"/>
        <v>1110.7</v>
      </c>
      <c r="T317" s="267">
        <v>1110.7</v>
      </c>
      <c r="U317" s="267">
        <v>941.9</v>
      </c>
      <c r="V317" s="267">
        <v>88.5</v>
      </c>
      <c r="W317" s="268" t="s">
        <v>218</v>
      </c>
      <c r="X317" s="268" t="s">
        <v>218</v>
      </c>
      <c r="Y317" s="269" t="s">
        <v>218</v>
      </c>
      <c r="Z317" s="270" t="s">
        <v>218</v>
      </c>
      <c r="AA317" s="268" t="s">
        <v>218</v>
      </c>
      <c r="AB317" s="268" t="s">
        <v>218</v>
      </c>
      <c r="AC317" s="269" t="s">
        <v>219</v>
      </c>
      <c r="AD317" s="268" t="s">
        <v>218</v>
      </c>
      <c r="AE317" s="269" t="s">
        <v>219</v>
      </c>
      <c r="AF317" s="268">
        <v>0</v>
      </c>
      <c r="AG317" s="239">
        <v>0</v>
      </c>
      <c r="AH317" s="239"/>
      <c r="AI317" s="239">
        <v>0</v>
      </c>
      <c r="AJ317" s="239">
        <v>0</v>
      </c>
      <c r="AK317" s="81"/>
      <c r="AL317" s="81"/>
    </row>
    <row r="318" spans="1:38" s="83" customFormat="1" ht="32.25" customHeight="1" x14ac:dyDescent="0.3">
      <c r="A318" s="80">
        <v>311</v>
      </c>
      <c r="B318" s="84" t="s">
        <v>196</v>
      </c>
      <c r="C318" s="81"/>
      <c r="D318" s="240" t="s">
        <v>1355</v>
      </c>
      <c r="E318" s="239">
        <v>100</v>
      </c>
      <c r="F318" s="239"/>
      <c r="G318" s="239" t="s">
        <v>1356</v>
      </c>
      <c r="H318" s="84" t="s">
        <v>1003</v>
      </c>
      <c r="I318" s="239" t="s">
        <v>886</v>
      </c>
      <c r="J318" s="239" t="s">
        <v>887</v>
      </c>
      <c r="K318" s="118"/>
      <c r="L318" s="239"/>
      <c r="M318" s="265">
        <v>1917</v>
      </c>
      <c r="N318" s="239" t="s">
        <v>893</v>
      </c>
      <c r="O318" s="239">
        <v>4</v>
      </c>
      <c r="P318" s="239">
        <v>0</v>
      </c>
      <c r="Q318" s="239">
        <v>1</v>
      </c>
      <c r="R318" s="239">
        <v>4</v>
      </c>
      <c r="S318" s="266">
        <f t="shared" si="9"/>
        <v>328.6</v>
      </c>
      <c r="T318" s="267">
        <v>328.6</v>
      </c>
      <c r="U318" s="267">
        <v>255.8</v>
      </c>
      <c r="V318" s="267">
        <v>0</v>
      </c>
      <c r="W318" s="268" t="s">
        <v>218</v>
      </c>
      <c r="X318" s="268" t="s">
        <v>218</v>
      </c>
      <c r="Y318" s="269" t="s">
        <v>218</v>
      </c>
      <c r="Z318" s="270" t="s">
        <v>218</v>
      </c>
      <c r="AA318" s="268" t="s">
        <v>218</v>
      </c>
      <c r="AB318" s="268" t="s">
        <v>218</v>
      </c>
      <c r="AC318" s="269" t="s">
        <v>219</v>
      </c>
      <c r="AD318" s="268" t="s">
        <v>218</v>
      </c>
      <c r="AE318" s="269" t="s">
        <v>219</v>
      </c>
      <c r="AF318" s="268">
        <v>0</v>
      </c>
      <c r="AG318" s="239">
        <v>0</v>
      </c>
      <c r="AH318" s="239"/>
      <c r="AI318" s="239">
        <v>1</v>
      </c>
      <c r="AJ318" s="239">
        <v>1</v>
      </c>
      <c r="AK318" s="81"/>
      <c r="AL318" s="81"/>
    </row>
    <row r="319" spans="1:38" s="83" customFormat="1" ht="32.25" customHeight="1" x14ac:dyDescent="0.3">
      <c r="A319" s="5">
        <v>312</v>
      </c>
      <c r="B319" s="84" t="s">
        <v>196</v>
      </c>
      <c r="C319" s="81"/>
      <c r="D319" s="240" t="s">
        <v>1355</v>
      </c>
      <c r="E319" s="239">
        <v>110</v>
      </c>
      <c r="F319" s="239"/>
      <c r="G319" s="239" t="s">
        <v>245</v>
      </c>
      <c r="H319" s="84" t="s">
        <v>1004</v>
      </c>
      <c r="I319" s="239" t="s">
        <v>886</v>
      </c>
      <c r="J319" s="239" t="s">
        <v>887</v>
      </c>
      <c r="K319" s="118"/>
      <c r="L319" s="239"/>
      <c r="M319" s="265">
        <v>1917</v>
      </c>
      <c r="N319" s="239" t="s">
        <v>893</v>
      </c>
      <c r="O319" s="239">
        <v>4</v>
      </c>
      <c r="P319" s="239">
        <v>0</v>
      </c>
      <c r="Q319" s="239">
        <v>3</v>
      </c>
      <c r="R319" s="239">
        <v>16</v>
      </c>
      <c r="S319" s="266">
        <f t="shared" si="9"/>
        <v>1700.3</v>
      </c>
      <c r="T319" s="267">
        <v>1700.3</v>
      </c>
      <c r="U319" s="267">
        <v>1364.5</v>
      </c>
      <c r="V319" s="267">
        <v>306.5</v>
      </c>
      <c r="W319" s="268" t="s">
        <v>218</v>
      </c>
      <c r="X319" s="268" t="s">
        <v>218</v>
      </c>
      <c r="Y319" s="269" t="s">
        <v>218</v>
      </c>
      <c r="Z319" s="270" t="s">
        <v>218</v>
      </c>
      <c r="AA319" s="268" t="s">
        <v>218</v>
      </c>
      <c r="AB319" s="268" t="s">
        <v>218</v>
      </c>
      <c r="AC319" s="269" t="s">
        <v>219</v>
      </c>
      <c r="AD319" s="268" t="s">
        <v>218</v>
      </c>
      <c r="AE319" s="269" t="s">
        <v>219</v>
      </c>
      <c r="AF319" s="268">
        <v>0</v>
      </c>
      <c r="AG319" s="239">
        <v>1</v>
      </c>
      <c r="AH319" s="239"/>
      <c r="AI319" s="239">
        <v>1</v>
      </c>
      <c r="AJ319" s="239">
        <v>1</v>
      </c>
      <c r="AK319" s="81"/>
      <c r="AL319" s="81"/>
    </row>
    <row r="320" spans="1:38" s="83" customFormat="1" ht="32.25" customHeight="1" x14ac:dyDescent="0.3">
      <c r="A320" s="80">
        <v>313</v>
      </c>
      <c r="B320" s="84" t="s">
        <v>196</v>
      </c>
      <c r="C320" s="81"/>
      <c r="D320" s="240" t="s">
        <v>1355</v>
      </c>
      <c r="E320" s="239">
        <v>42</v>
      </c>
      <c r="F320" s="239"/>
      <c r="G320" s="239" t="s">
        <v>245</v>
      </c>
      <c r="H320" s="84" t="s">
        <v>1005</v>
      </c>
      <c r="I320" s="239" t="s">
        <v>886</v>
      </c>
      <c r="J320" s="118" t="s">
        <v>1357</v>
      </c>
      <c r="K320" s="118"/>
      <c r="L320" s="118"/>
      <c r="M320" s="265">
        <v>1875</v>
      </c>
      <c r="N320" s="239" t="s">
        <v>893</v>
      </c>
      <c r="O320" s="265">
        <v>4</v>
      </c>
      <c r="P320" s="239">
        <v>0</v>
      </c>
      <c r="Q320" s="265">
        <v>2</v>
      </c>
      <c r="R320" s="239">
        <v>19</v>
      </c>
      <c r="S320" s="266">
        <f t="shared" si="9"/>
        <v>1890</v>
      </c>
      <c r="T320" s="267">
        <v>1890</v>
      </c>
      <c r="U320" s="267">
        <v>1768.5</v>
      </c>
      <c r="V320" s="267">
        <v>0</v>
      </c>
      <c r="W320" s="268" t="s">
        <v>218</v>
      </c>
      <c r="X320" s="268" t="s">
        <v>218</v>
      </c>
      <c r="Y320" s="269" t="s">
        <v>218</v>
      </c>
      <c r="Z320" s="270" t="s">
        <v>218</v>
      </c>
      <c r="AA320" s="268" t="s">
        <v>218</v>
      </c>
      <c r="AB320" s="268" t="s">
        <v>218</v>
      </c>
      <c r="AC320" s="269" t="s">
        <v>219</v>
      </c>
      <c r="AD320" s="268" t="s">
        <v>218</v>
      </c>
      <c r="AE320" s="269" t="s">
        <v>219</v>
      </c>
      <c r="AF320" s="268">
        <v>0</v>
      </c>
      <c r="AG320" s="239">
        <v>1</v>
      </c>
      <c r="AH320" s="239"/>
      <c r="AI320" s="239">
        <v>0</v>
      </c>
      <c r="AJ320" s="239">
        <v>0</v>
      </c>
      <c r="AK320" s="81"/>
      <c r="AL320" s="81"/>
    </row>
    <row r="321" spans="1:38" s="83" customFormat="1" ht="32.25" customHeight="1" x14ac:dyDescent="0.3">
      <c r="A321" s="5">
        <v>314</v>
      </c>
      <c r="B321" s="84" t="s">
        <v>196</v>
      </c>
      <c r="C321" s="81"/>
      <c r="D321" s="240" t="s">
        <v>1355</v>
      </c>
      <c r="E321" s="239">
        <v>42</v>
      </c>
      <c r="F321" s="239"/>
      <c r="G321" s="239" t="s">
        <v>1356</v>
      </c>
      <c r="H321" s="84" t="s">
        <v>1006</v>
      </c>
      <c r="I321" s="239" t="s">
        <v>886</v>
      </c>
      <c r="J321" s="118" t="s">
        <v>1357</v>
      </c>
      <c r="K321" s="118"/>
      <c r="L321" s="118"/>
      <c r="M321" s="265">
        <v>1917</v>
      </c>
      <c r="N321" s="239" t="s">
        <v>893</v>
      </c>
      <c r="O321" s="265">
        <v>3</v>
      </c>
      <c r="P321" s="239">
        <v>0</v>
      </c>
      <c r="Q321" s="265">
        <v>2</v>
      </c>
      <c r="R321" s="239">
        <v>9</v>
      </c>
      <c r="S321" s="266">
        <f t="shared" si="9"/>
        <v>1172.7</v>
      </c>
      <c r="T321" s="267">
        <v>1172.7</v>
      </c>
      <c r="U321" s="267">
        <v>774.1</v>
      </c>
      <c r="V321" s="267">
        <v>255.10000000000002</v>
      </c>
      <c r="W321" s="268" t="s">
        <v>218</v>
      </c>
      <c r="X321" s="268" t="s">
        <v>218</v>
      </c>
      <c r="Y321" s="269" t="s">
        <v>218</v>
      </c>
      <c r="Z321" s="270" t="s">
        <v>218</v>
      </c>
      <c r="AA321" s="268" t="s">
        <v>218</v>
      </c>
      <c r="AB321" s="268" t="s">
        <v>218</v>
      </c>
      <c r="AC321" s="269" t="s">
        <v>219</v>
      </c>
      <c r="AD321" s="268" t="s">
        <v>218</v>
      </c>
      <c r="AE321" s="269" t="s">
        <v>219</v>
      </c>
      <c r="AF321" s="268">
        <v>0</v>
      </c>
      <c r="AG321" s="239">
        <v>1</v>
      </c>
      <c r="AH321" s="239"/>
      <c r="AI321" s="239">
        <v>0</v>
      </c>
      <c r="AJ321" s="239">
        <v>0</v>
      </c>
      <c r="AK321" s="81"/>
      <c r="AL321" s="81"/>
    </row>
    <row r="322" spans="1:38" s="83" customFormat="1" ht="32.25" customHeight="1" x14ac:dyDescent="0.3">
      <c r="A322" s="80">
        <v>315</v>
      </c>
      <c r="B322" s="84" t="s">
        <v>196</v>
      </c>
      <c r="C322" s="81"/>
      <c r="D322" s="240" t="s">
        <v>1355</v>
      </c>
      <c r="E322" s="239">
        <v>42</v>
      </c>
      <c r="F322" s="239"/>
      <c r="G322" s="239" t="s">
        <v>1356</v>
      </c>
      <c r="H322" s="84" t="s">
        <v>1007</v>
      </c>
      <c r="I322" s="239" t="s">
        <v>886</v>
      </c>
      <c r="J322" s="118" t="s">
        <v>1357</v>
      </c>
      <c r="K322" s="118"/>
      <c r="L322" s="118"/>
      <c r="M322" s="265">
        <v>1917</v>
      </c>
      <c r="N322" s="239" t="s">
        <v>893</v>
      </c>
      <c r="O322" s="265">
        <v>4</v>
      </c>
      <c r="P322" s="239">
        <v>0</v>
      </c>
      <c r="Q322" s="265">
        <v>1</v>
      </c>
      <c r="R322" s="239">
        <v>7</v>
      </c>
      <c r="S322" s="266">
        <f t="shared" si="9"/>
        <v>632.9</v>
      </c>
      <c r="T322" s="267">
        <v>632.9</v>
      </c>
      <c r="U322" s="267">
        <v>561.70000000000005</v>
      </c>
      <c r="V322" s="267">
        <v>0</v>
      </c>
      <c r="W322" s="268" t="s">
        <v>218</v>
      </c>
      <c r="X322" s="268" t="s">
        <v>218</v>
      </c>
      <c r="Y322" s="269" t="s">
        <v>218</v>
      </c>
      <c r="Z322" s="270" t="s">
        <v>218</v>
      </c>
      <c r="AA322" s="268" t="s">
        <v>218</v>
      </c>
      <c r="AB322" s="268" t="s">
        <v>218</v>
      </c>
      <c r="AC322" s="269" t="s">
        <v>219</v>
      </c>
      <c r="AD322" s="268" t="s">
        <v>218</v>
      </c>
      <c r="AE322" s="269" t="s">
        <v>219</v>
      </c>
      <c r="AF322" s="268">
        <v>0</v>
      </c>
      <c r="AG322" s="239">
        <v>1</v>
      </c>
      <c r="AH322" s="239"/>
      <c r="AI322" s="239">
        <v>1</v>
      </c>
      <c r="AJ322" s="239">
        <v>1</v>
      </c>
      <c r="AK322" s="81"/>
      <c r="AL322" s="81"/>
    </row>
    <row r="323" spans="1:38" s="83" customFormat="1" ht="32.25" customHeight="1" x14ac:dyDescent="0.3">
      <c r="A323" s="5">
        <v>316</v>
      </c>
      <c r="B323" s="84" t="s">
        <v>196</v>
      </c>
      <c r="C323" s="81"/>
      <c r="D323" s="240" t="s">
        <v>1355</v>
      </c>
      <c r="E323" s="239">
        <v>44</v>
      </c>
      <c r="F323" s="239"/>
      <c r="G323" s="239" t="s">
        <v>245</v>
      </c>
      <c r="H323" s="84" t="s">
        <v>1008</v>
      </c>
      <c r="I323" s="239" t="s">
        <v>886</v>
      </c>
      <c r="J323" s="118" t="s">
        <v>1358</v>
      </c>
      <c r="K323" s="118" t="s">
        <v>905</v>
      </c>
      <c r="L323" s="118"/>
      <c r="M323" s="265">
        <v>1881</v>
      </c>
      <c r="N323" s="239" t="s">
        <v>893</v>
      </c>
      <c r="O323" s="265">
        <v>4</v>
      </c>
      <c r="P323" s="239">
        <v>0</v>
      </c>
      <c r="Q323" s="265">
        <v>6</v>
      </c>
      <c r="R323" s="239">
        <v>27</v>
      </c>
      <c r="S323" s="266">
        <f t="shared" si="9"/>
        <v>2073.5</v>
      </c>
      <c r="T323" s="267">
        <v>2073.5</v>
      </c>
      <c r="U323" s="267">
        <v>1545.4</v>
      </c>
      <c r="V323" s="267">
        <v>488.5</v>
      </c>
      <c r="W323" s="268" t="s">
        <v>218</v>
      </c>
      <c r="X323" s="268" t="s">
        <v>218</v>
      </c>
      <c r="Y323" s="269" t="s">
        <v>219</v>
      </c>
      <c r="Z323" s="270" t="s">
        <v>218</v>
      </c>
      <c r="AA323" s="268" t="s">
        <v>218</v>
      </c>
      <c r="AB323" s="268" t="s">
        <v>218</v>
      </c>
      <c r="AC323" s="269" t="s">
        <v>906</v>
      </c>
      <c r="AD323" s="268" t="s">
        <v>218</v>
      </c>
      <c r="AE323" s="269" t="s">
        <v>219</v>
      </c>
      <c r="AF323" s="268">
        <v>0</v>
      </c>
      <c r="AG323" s="239">
        <v>1</v>
      </c>
      <c r="AH323" s="239"/>
      <c r="AI323" s="239">
        <v>0</v>
      </c>
      <c r="AJ323" s="239">
        <v>0</v>
      </c>
      <c r="AK323" s="81"/>
      <c r="AL323" s="81"/>
    </row>
    <row r="324" spans="1:38" s="83" customFormat="1" ht="32.25" customHeight="1" x14ac:dyDescent="0.3">
      <c r="A324" s="80">
        <v>317</v>
      </c>
      <c r="B324" s="84" t="s">
        <v>196</v>
      </c>
      <c r="C324" s="81"/>
      <c r="D324" s="240" t="s">
        <v>1355</v>
      </c>
      <c r="E324" s="239">
        <v>46</v>
      </c>
      <c r="F324" s="239"/>
      <c r="G324" s="239" t="s">
        <v>245</v>
      </c>
      <c r="H324" s="84" t="s">
        <v>1009</v>
      </c>
      <c r="I324" s="239" t="s">
        <v>886</v>
      </c>
      <c r="J324" s="118" t="s">
        <v>1358</v>
      </c>
      <c r="K324" s="118"/>
      <c r="L324" s="118"/>
      <c r="M324" s="265">
        <v>1866</v>
      </c>
      <c r="N324" s="239" t="s">
        <v>893</v>
      </c>
      <c r="O324" s="265">
        <v>4</v>
      </c>
      <c r="P324" s="239">
        <v>0</v>
      </c>
      <c r="Q324" s="265">
        <v>1</v>
      </c>
      <c r="R324" s="239">
        <v>8</v>
      </c>
      <c r="S324" s="266">
        <f t="shared" si="9"/>
        <v>640</v>
      </c>
      <c r="T324" s="267">
        <v>640</v>
      </c>
      <c r="U324" s="267">
        <v>640</v>
      </c>
      <c r="V324" s="267">
        <v>0</v>
      </c>
      <c r="W324" s="268" t="s">
        <v>218</v>
      </c>
      <c r="X324" s="268" t="s">
        <v>218</v>
      </c>
      <c r="Y324" s="269" t="s">
        <v>219</v>
      </c>
      <c r="Z324" s="270" t="s">
        <v>218</v>
      </c>
      <c r="AA324" s="268" t="s">
        <v>218</v>
      </c>
      <c r="AB324" s="268" t="s">
        <v>218</v>
      </c>
      <c r="AC324" s="269" t="s">
        <v>218</v>
      </c>
      <c r="AD324" s="268" t="s">
        <v>218</v>
      </c>
      <c r="AE324" s="269" t="s">
        <v>219</v>
      </c>
      <c r="AF324" s="268">
        <v>0</v>
      </c>
      <c r="AG324" s="239">
        <v>1</v>
      </c>
      <c r="AH324" s="239"/>
      <c r="AI324" s="239">
        <v>0</v>
      </c>
      <c r="AJ324" s="239">
        <v>1</v>
      </c>
      <c r="AK324" s="81"/>
      <c r="AL324" s="81"/>
    </row>
    <row r="325" spans="1:38" s="83" customFormat="1" ht="32.25" customHeight="1" x14ac:dyDescent="0.3">
      <c r="A325" s="5">
        <v>318</v>
      </c>
      <c r="B325" s="84" t="s">
        <v>196</v>
      </c>
      <c r="C325" s="81"/>
      <c r="D325" s="240" t="s">
        <v>1355</v>
      </c>
      <c r="E325" s="239">
        <v>46</v>
      </c>
      <c r="F325" s="239"/>
      <c r="G325" s="239" t="s">
        <v>1356</v>
      </c>
      <c r="H325" s="84" t="s">
        <v>1010</v>
      </c>
      <c r="I325" s="239" t="s">
        <v>886</v>
      </c>
      <c r="J325" s="118" t="s">
        <v>1358</v>
      </c>
      <c r="K325" s="118"/>
      <c r="L325" s="118"/>
      <c r="M325" s="265">
        <v>1866</v>
      </c>
      <c r="N325" s="239" t="s">
        <v>893</v>
      </c>
      <c r="O325" s="265">
        <v>3</v>
      </c>
      <c r="P325" s="239">
        <v>0</v>
      </c>
      <c r="Q325" s="265">
        <v>1</v>
      </c>
      <c r="R325" s="239">
        <v>6</v>
      </c>
      <c r="S325" s="266">
        <f t="shared" si="9"/>
        <v>594</v>
      </c>
      <c r="T325" s="267">
        <v>594</v>
      </c>
      <c r="U325" s="267">
        <v>476.4</v>
      </c>
      <c r="V325" s="267">
        <v>66.399999999999991</v>
      </c>
      <c r="W325" s="268" t="s">
        <v>218</v>
      </c>
      <c r="X325" s="268" t="s">
        <v>218</v>
      </c>
      <c r="Y325" s="269" t="s">
        <v>219</v>
      </c>
      <c r="Z325" s="270" t="s">
        <v>218</v>
      </c>
      <c r="AA325" s="268" t="s">
        <v>218</v>
      </c>
      <c r="AB325" s="268" t="s">
        <v>218</v>
      </c>
      <c r="AC325" s="269" t="s">
        <v>218</v>
      </c>
      <c r="AD325" s="268" t="s">
        <v>218</v>
      </c>
      <c r="AE325" s="269" t="s">
        <v>219</v>
      </c>
      <c r="AF325" s="268">
        <v>0</v>
      </c>
      <c r="AG325" s="239" t="s">
        <v>907</v>
      </c>
      <c r="AH325" s="239"/>
      <c r="AI325" s="239">
        <v>0</v>
      </c>
      <c r="AJ325" s="239">
        <v>0</v>
      </c>
      <c r="AK325" s="81"/>
      <c r="AL325" s="81"/>
    </row>
    <row r="326" spans="1:38" s="83" customFormat="1" ht="32.25" customHeight="1" x14ac:dyDescent="0.3">
      <c r="A326" s="80">
        <v>319</v>
      </c>
      <c r="B326" s="84" t="s">
        <v>196</v>
      </c>
      <c r="C326" s="81"/>
      <c r="D326" s="240" t="s">
        <v>1359</v>
      </c>
      <c r="E326" s="239">
        <v>47</v>
      </c>
      <c r="F326" s="239">
        <v>3</v>
      </c>
      <c r="G326" s="239" t="s">
        <v>245</v>
      </c>
      <c r="H326" s="84" t="s">
        <v>1011</v>
      </c>
      <c r="I326" s="239" t="s">
        <v>886</v>
      </c>
      <c r="J326" s="118" t="s">
        <v>904</v>
      </c>
      <c r="K326" s="118"/>
      <c r="L326" s="118"/>
      <c r="M326" s="265"/>
      <c r="N326" s="239" t="s">
        <v>893</v>
      </c>
      <c r="O326" s="265"/>
      <c r="P326" s="239">
        <v>0</v>
      </c>
      <c r="Q326" s="265"/>
      <c r="R326" s="239">
        <v>12</v>
      </c>
      <c r="S326" s="266">
        <f t="shared" si="9"/>
        <v>1251.3</v>
      </c>
      <c r="T326" s="267">
        <v>1251.3</v>
      </c>
      <c r="U326" s="267">
        <v>1244.7</v>
      </c>
      <c r="V326" s="267">
        <v>0</v>
      </c>
      <c r="W326" s="268" t="s">
        <v>218</v>
      </c>
      <c r="X326" s="268" t="s">
        <v>218</v>
      </c>
      <c r="Y326" s="269" t="s">
        <v>218</v>
      </c>
      <c r="Z326" s="270" t="s">
        <v>218</v>
      </c>
      <c r="AA326" s="268" t="s">
        <v>218</v>
      </c>
      <c r="AB326" s="268" t="s">
        <v>218</v>
      </c>
      <c r="AC326" s="269" t="s">
        <v>219</v>
      </c>
      <c r="AD326" s="268" t="s">
        <v>218</v>
      </c>
      <c r="AE326" s="269" t="s">
        <v>219</v>
      </c>
      <c r="AF326" s="268">
        <v>0</v>
      </c>
      <c r="AG326" s="239">
        <v>0</v>
      </c>
      <c r="AH326" s="239"/>
      <c r="AI326" s="239">
        <v>0</v>
      </c>
      <c r="AJ326" s="239">
        <v>0</v>
      </c>
      <c r="AK326" s="81"/>
      <c r="AL326" s="81"/>
    </row>
    <row r="327" spans="1:38" s="83" customFormat="1" ht="32.25" customHeight="1" x14ac:dyDescent="0.3">
      <c r="A327" s="5">
        <v>320</v>
      </c>
      <c r="B327" s="84" t="s">
        <v>196</v>
      </c>
      <c r="C327" s="81"/>
      <c r="D327" s="240" t="s">
        <v>1355</v>
      </c>
      <c r="E327" s="239">
        <v>48</v>
      </c>
      <c r="F327" s="239"/>
      <c r="G327" s="239" t="s">
        <v>245</v>
      </c>
      <c r="H327" s="84" t="s">
        <v>1012</v>
      </c>
      <c r="I327" s="239" t="s">
        <v>886</v>
      </c>
      <c r="J327" s="118" t="s">
        <v>1358</v>
      </c>
      <c r="K327" s="118"/>
      <c r="L327" s="118"/>
      <c r="M327" s="265">
        <v>1877</v>
      </c>
      <c r="N327" s="239" t="s">
        <v>893</v>
      </c>
      <c r="O327" s="265">
        <v>6</v>
      </c>
      <c r="P327" s="239">
        <v>0</v>
      </c>
      <c r="Q327" s="265">
        <v>1</v>
      </c>
      <c r="R327" s="239">
        <v>15</v>
      </c>
      <c r="S327" s="266">
        <f t="shared" si="9"/>
        <v>1065.5</v>
      </c>
      <c r="T327" s="267">
        <v>1065.5</v>
      </c>
      <c r="U327" s="267">
        <v>869.1</v>
      </c>
      <c r="V327" s="267">
        <v>170.4</v>
      </c>
      <c r="W327" s="268" t="s">
        <v>218</v>
      </c>
      <c r="X327" s="268" t="s">
        <v>218</v>
      </c>
      <c r="Y327" s="269" t="s">
        <v>219</v>
      </c>
      <c r="Z327" s="270" t="s">
        <v>218</v>
      </c>
      <c r="AA327" s="268" t="s">
        <v>218</v>
      </c>
      <c r="AB327" s="268" t="s">
        <v>218</v>
      </c>
      <c r="AC327" s="269" t="s">
        <v>218</v>
      </c>
      <c r="AD327" s="268" t="s">
        <v>218</v>
      </c>
      <c r="AE327" s="269" t="s">
        <v>219</v>
      </c>
      <c r="AF327" s="268">
        <v>1</v>
      </c>
      <c r="AG327" s="239">
        <v>2</v>
      </c>
      <c r="AH327" s="239"/>
      <c r="AI327" s="239">
        <v>0</v>
      </c>
      <c r="AJ327" s="239">
        <v>0</v>
      </c>
      <c r="AK327" s="81"/>
      <c r="AL327" s="81"/>
    </row>
    <row r="328" spans="1:38" s="83" customFormat="1" ht="32.25" customHeight="1" x14ac:dyDescent="0.3">
      <c r="A328" s="80">
        <v>321</v>
      </c>
      <c r="B328" s="84" t="s">
        <v>196</v>
      </c>
      <c r="C328" s="81"/>
      <c r="D328" s="240" t="s">
        <v>1355</v>
      </c>
      <c r="E328" s="239">
        <v>52</v>
      </c>
      <c r="F328" s="239"/>
      <c r="G328" s="239" t="s">
        <v>245</v>
      </c>
      <c r="H328" s="84" t="s">
        <v>1013</v>
      </c>
      <c r="I328" s="239" t="s">
        <v>886</v>
      </c>
      <c r="J328" s="239" t="s">
        <v>1360</v>
      </c>
      <c r="K328" s="118"/>
      <c r="L328" s="239"/>
      <c r="M328" s="265">
        <v>1900</v>
      </c>
      <c r="N328" s="239" t="s">
        <v>893</v>
      </c>
      <c r="O328" s="265">
        <v>5</v>
      </c>
      <c r="P328" s="239">
        <v>0</v>
      </c>
      <c r="Q328" s="265">
        <v>2</v>
      </c>
      <c r="R328" s="239">
        <v>9</v>
      </c>
      <c r="S328" s="266">
        <f t="shared" si="9"/>
        <v>1614.4</v>
      </c>
      <c r="T328" s="267">
        <v>1614.4</v>
      </c>
      <c r="U328" s="267">
        <v>1089</v>
      </c>
      <c r="V328" s="267">
        <v>525.4</v>
      </c>
      <c r="W328" s="268" t="s">
        <v>218</v>
      </c>
      <c r="X328" s="268" t="s">
        <v>218</v>
      </c>
      <c r="Y328" s="269" t="s">
        <v>218</v>
      </c>
      <c r="Z328" s="270" t="s">
        <v>218</v>
      </c>
      <c r="AA328" s="268" t="s">
        <v>218</v>
      </c>
      <c r="AB328" s="268" t="s">
        <v>218</v>
      </c>
      <c r="AC328" s="269" t="s">
        <v>219</v>
      </c>
      <c r="AD328" s="268" t="s">
        <v>218</v>
      </c>
      <c r="AE328" s="269" t="s">
        <v>219</v>
      </c>
      <c r="AF328" s="268">
        <v>0</v>
      </c>
      <c r="AG328" s="239">
        <v>1</v>
      </c>
      <c r="AH328" s="239"/>
      <c r="AI328" s="239">
        <v>0</v>
      </c>
      <c r="AJ328" s="239">
        <v>0</v>
      </c>
      <c r="AK328" s="81"/>
      <c r="AL328" s="81"/>
    </row>
    <row r="329" spans="1:38" s="83" customFormat="1" ht="32.25" customHeight="1" x14ac:dyDescent="0.3">
      <c r="A329" s="5">
        <v>322</v>
      </c>
      <c r="B329" s="84" t="s">
        <v>196</v>
      </c>
      <c r="C329" s="81"/>
      <c r="D329" s="240" t="s">
        <v>1355</v>
      </c>
      <c r="E329" s="239">
        <v>52</v>
      </c>
      <c r="F329" s="239"/>
      <c r="G329" s="239" t="s">
        <v>1356</v>
      </c>
      <c r="H329" s="84" t="s">
        <v>1014</v>
      </c>
      <c r="I329" s="239" t="s">
        <v>886</v>
      </c>
      <c r="J329" s="239" t="s">
        <v>1360</v>
      </c>
      <c r="K329" s="118"/>
      <c r="L329" s="239"/>
      <c r="M329" s="265">
        <v>1917</v>
      </c>
      <c r="N329" s="239" t="s">
        <v>893</v>
      </c>
      <c r="O329" s="265">
        <v>2</v>
      </c>
      <c r="P329" s="239">
        <v>0</v>
      </c>
      <c r="Q329" s="265">
        <v>1</v>
      </c>
      <c r="R329" s="239">
        <v>5</v>
      </c>
      <c r="S329" s="266">
        <f t="shared" si="9"/>
        <v>873</v>
      </c>
      <c r="T329" s="267">
        <v>873</v>
      </c>
      <c r="U329" s="267">
        <v>342.5</v>
      </c>
      <c r="V329" s="267">
        <v>530.5</v>
      </c>
      <c r="W329" s="268" t="s">
        <v>218</v>
      </c>
      <c r="X329" s="268" t="s">
        <v>218</v>
      </c>
      <c r="Y329" s="269" t="s">
        <v>218</v>
      </c>
      <c r="Z329" s="270" t="s">
        <v>218</v>
      </c>
      <c r="AA329" s="268" t="s">
        <v>218</v>
      </c>
      <c r="AB329" s="268" t="s">
        <v>218</v>
      </c>
      <c r="AC329" s="269" t="s">
        <v>219</v>
      </c>
      <c r="AD329" s="268" t="s">
        <v>218</v>
      </c>
      <c r="AE329" s="269" t="s">
        <v>219</v>
      </c>
      <c r="AF329" s="268">
        <v>0</v>
      </c>
      <c r="AG329" s="239" t="s">
        <v>908</v>
      </c>
      <c r="AH329" s="239"/>
      <c r="AI329" s="239">
        <v>0</v>
      </c>
      <c r="AJ329" s="239">
        <v>0</v>
      </c>
      <c r="AK329" s="81"/>
      <c r="AL329" s="81"/>
    </row>
    <row r="330" spans="1:38" s="83" customFormat="1" ht="32.25" customHeight="1" x14ac:dyDescent="0.3">
      <c r="A330" s="80">
        <v>323</v>
      </c>
      <c r="B330" s="84" t="s">
        <v>196</v>
      </c>
      <c r="C330" s="81"/>
      <c r="D330" s="240" t="s">
        <v>1355</v>
      </c>
      <c r="E330" s="239">
        <v>53</v>
      </c>
      <c r="F330" s="239">
        <v>1</v>
      </c>
      <c r="G330" s="239" t="s">
        <v>245</v>
      </c>
      <c r="H330" s="84" t="s">
        <v>1015</v>
      </c>
      <c r="I330" s="239" t="s">
        <v>886</v>
      </c>
      <c r="J330" s="239" t="s">
        <v>887</v>
      </c>
      <c r="K330" s="118"/>
      <c r="L330" s="239"/>
      <c r="M330" s="265">
        <v>1959</v>
      </c>
      <c r="N330" s="239" t="s">
        <v>893</v>
      </c>
      <c r="O330" s="265">
        <v>5</v>
      </c>
      <c r="P330" s="239">
        <v>0</v>
      </c>
      <c r="Q330" s="265">
        <v>3</v>
      </c>
      <c r="R330" s="239">
        <v>45</v>
      </c>
      <c r="S330" s="266">
        <f t="shared" si="9"/>
        <v>2961</v>
      </c>
      <c r="T330" s="267">
        <v>2961</v>
      </c>
      <c r="U330" s="267">
        <v>2657.6</v>
      </c>
      <c r="V330" s="267">
        <v>282.3</v>
      </c>
      <c r="W330" s="268" t="s">
        <v>218</v>
      </c>
      <c r="X330" s="268" t="s">
        <v>218</v>
      </c>
      <c r="Y330" s="269" t="s">
        <v>218</v>
      </c>
      <c r="Z330" s="270" t="s">
        <v>218</v>
      </c>
      <c r="AA330" s="268" t="s">
        <v>218</v>
      </c>
      <c r="AB330" s="268" t="s">
        <v>218</v>
      </c>
      <c r="AC330" s="269" t="s">
        <v>219</v>
      </c>
      <c r="AD330" s="268" t="s">
        <v>218</v>
      </c>
      <c r="AE330" s="269" t="s">
        <v>219</v>
      </c>
      <c r="AF330" s="268">
        <v>0</v>
      </c>
      <c r="AG330" s="239">
        <v>1</v>
      </c>
      <c r="AH330" s="239"/>
      <c r="AI330" s="239">
        <v>1</v>
      </c>
      <c r="AJ330" s="239">
        <v>1</v>
      </c>
      <c r="AK330" s="81"/>
      <c r="AL330" s="81"/>
    </row>
    <row r="331" spans="1:38" s="83" customFormat="1" ht="32.25" customHeight="1" x14ac:dyDescent="0.3">
      <c r="A331" s="5">
        <v>324</v>
      </c>
      <c r="B331" s="84" t="s">
        <v>196</v>
      </c>
      <c r="C331" s="81"/>
      <c r="D331" s="240" t="s">
        <v>1355</v>
      </c>
      <c r="E331" s="239">
        <v>53</v>
      </c>
      <c r="F331" s="239">
        <v>3</v>
      </c>
      <c r="G331" s="239" t="s">
        <v>245</v>
      </c>
      <c r="H331" s="84" t="s">
        <v>1016</v>
      </c>
      <c r="I331" s="239" t="s">
        <v>886</v>
      </c>
      <c r="J331" s="239" t="s">
        <v>887</v>
      </c>
      <c r="K331" s="118"/>
      <c r="L331" s="239"/>
      <c r="M331" s="265">
        <v>1961</v>
      </c>
      <c r="N331" s="239" t="s">
        <v>893</v>
      </c>
      <c r="O331" s="265">
        <v>5</v>
      </c>
      <c r="P331" s="239">
        <v>0</v>
      </c>
      <c r="Q331" s="265">
        <v>3</v>
      </c>
      <c r="R331" s="239">
        <v>15</v>
      </c>
      <c r="S331" s="266">
        <f t="shared" si="9"/>
        <v>2555.8000000000002</v>
      </c>
      <c r="T331" s="267">
        <v>2555.8000000000002</v>
      </c>
      <c r="U331" s="267">
        <v>2520.1</v>
      </c>
      <c r="V331" s="267">
        <v>3.7</v>
      </c>
      <c r="W331" s="268" t="s">
        <v>218</v>
      </c>
      <c r="X331" s="268" t="s">
        <v>218</v>
      </c>
      <c r="Y331" s="269" t="s">
        <v>218</v>
      </c>
      <c r="Z331" s="270" t="s">
        <v>218</v>
      </c>
      <c r="AA331" s="268" t="s">
        <v>218</v>
      </c>
      <c r="AB331" s="268" t="s">
        <v>218</v>
      </c>
      <c r="AC331" s="269" t="s">
        <v>219</v>
      </c>
      <c r="AD331" s="268" t="s">
        <v>218</v>
      </c>
      <c r="AE331" s="269" t="s">
        <v>219</v>
      </c>
      <c r="AF331" s="268">
        <v>0</v>
      </c>
      <c r="AG331" s="239">
        <v>1</v>
      </c>
      <c r="AH331" s="239"/>
      <c r="AI331" s="239">
        <v>1</v>
      </c>
      <c r="AJ331" s="239">
        <v>1</v>
      </c>
      <c r="AK331" s="81"/>
      <c r="AL331" s="81"/>
    </row>
    <row r="332" spans="1:38" s="83" customFormat="1" ht="32.25" customHeight="1" x14ac:dyDescent="0.3">
      <c r="A332" s="80">
        <v>325</v>
      </c>
      <c r="B332" s="84" t="s">
        <v>196</v>
      </c>
      <c r="C332" s="81"/>
      <c r="D332" s="240" t="s">
        <v>1355</v>
      </c>
      <c r="E332" s="239">
        <v>58</v>
      </c>
      <c r="F332" s="239"/>
      <c r="G332" s="239" t="s">
        <v>245</v>
      </c>
      <c r="H332" s="84" t="s">
        <v>1017</v>
      </c>
      <c r="I332" s="239" t="s">
        <v>886</v>
      </c>
      <c r="J332" s="118" t="s">
        <v>903</v>
      </c>
      <c r="K332" s="118"/>
      <c r="L332" s="118"/>
      <c r="M332" s="265">
        <v>1917</v>
      </c>
      <c r="N332" s="239" t="s">
        <v>893</v>
      </c>
      <c r="O332" s="265">
        <v>4</v>
      </c>
      <c r="P332" s="239">
        <v>0</v>
      </c>
      <c r="Q332" s="265">
        <v>2</v>
      </c>
      <c r="R332" s="239">
        <v>15</v>
      </c>
      <c r="S332" s="266">
        <f t="shared" si="9"/>
        <v>1553.1</v>
      </c>
      <c r="T332" s="267">
        <v>1553.1</v>
      </c>
      <c r="U332" s="267">
        <v>1553.1</v>
      </c>
      <c r="V332" s="267">
        <v>0</v>
      </c>
      <c r="W332" s="268" t="s">
        <v>218</v>
      </c>
      <c r="X332" s="268" t="s">
        <v>218</v>
      </c>
      <c r="Y332" s="269" t="s">
        <v>218</v>
      </c>
      <c r="Z332" s="270" t="s">
        <v>218</v>
      </c>
      <c r="AA332" s="268" t="s">
        <v>218</v>
      </c>
      <c r="AB332" s="268" t="s">
        <v>218</v>
      </c>
      <c r="AC332" s="269" t="s">
        <v>219</v>
      </c>
      <c r="AD332" s="268" t="s">
        <v>218</v>
      </c>
      <c r="AE332" s="269" t="s">
        <v>219</v>
      </c>
      <c r="AF332" s="268">
        <v>0</v>
      </c>
      <c r="AG332" s="239">
        <v>1</v>
      </c>
      <c r="AH332" s="239"/>
      <c r="AI332" s="239">
        <v>1</v>
      </c>
      <c r="AJ332" s="239">
        <v>1</v>
      </c>
      <c r="AK332" s="81"/>
      <c r="AL332" s="81"/>
    </row>
    <row r="333" spans="1:38" s="83" customFormat="1" ht="32.25" customHeight="1" x14ac:dyDescent="0.3">
      <c r="A333" s="5">
        <v>326</v>
      </c>
      <c r="B333" s="84" t="s">
        <v>196</v>
      </c>
      <c r="C333" s="81"/>
      <c r="D333" s="240" t="s">
        <v>1355</v>
      </c>
      <c r="E333" s="239">
        <v>58</v>
      </c>
      <c r="F333" s="239"/>
      <c r="G333" s="239" t="s">
        <v>1356</v>
      </c>
      <c r="H333" s="84" t="s">
        <v>1018</v>
      </c>
      <c r="I333" s="239" t="s">
        <v>886</v>
      </c>
      <c r="J333" s="118" t="s">
        <v>903</v>
      </c>
      <c r="K333" s="118"/>
      <c r="L333" s="118"/>
      <c r="M333" s="265">
        <v>1917</v>
      </c>
      <c r="N333" s="239" t="s">
        <v>893</v>
      </c>
      <c r="O333" s="265">
        <v>4</v>
      </c>
      <c r="P333" s="239">
        <v>0</v>
      </c>
      <c r="Q333" s="265">
        <v>6</v>
      </c>
      <c r="R333" s="239">
        <v>47</v>
      </c>
      <c r="S333" s="266">
        <f t="shared" si="9"/>
        <v>1172.9000000000001</v>
      </c>
      <c r="T333" s="267">
        <v>1172.9000000000001</v>
      </c>
      <c r="U333" s="267">
        <v>1172.9000000000001</v>
      </c>
      <c r="V333" s="267">
        <v>0</v>
      </c>
      <c r="W333" s="268" t="s">
        <v>218</v>
      </c>
      <c r="X333" s="268" t="s">
        <v>218</v>
      </c>
      <c r="Y333" s="269" t="s">
        <v>218</v>
      </c>
      <c r="Z333" s="270" t="s">
        <v>218</v>
      </c>
      <c r="AA333" s="268" t="s">
        <v>218</v>
      </c>
      <c r="AB333" s="268" t="s">
        <v>218</v>
      </c>
      <c r="AC333" s="269" t="s">
        <v>219</v>
      </c>
      <c r="AD333" s="268" t="s">
        <v>218</v>
      </c>
      <c r="AE333" s="269" t="s">
        <v>219</v>
      </c>
      <c r="AF333" s="268">
        <v>0</v>
      </c>
      <c r="AG333" s="239" t="s">
        <v>909</v>
      </c>
      <c r="AH333" s="239"/>
      <c r="AI333" s="239">
        <v>1</v>
      </c>
      <c r="AJ333" s="239">
        <v>1</v>
      </c>
      <c r="AK333" s="81"/>
      <c r="AL333" s="81"/>
    </row>
    <row r="334" spans="1:38" s="83" customFormat="1" ht="32.25" customHeight="1" x14ac:dyDescent="0.3">
      <c r="A334" s="80">
        <v>327</v>
      </c>
      <c r="B334" s="84" t="s">
        <v>196</v>
      </c>
      <c r="C334" s="81"/>
      <c r="D334" s="240" t="s">
        <v>1355</v>
      </c>
      <c r="E334" s="239">
        <v>58</v>
      </c>
      <c r="F334" s="239"/>
      <c r="G334" s="239" t="s">
        <v>1361</v>
      </c>
      <c r="H334" s="84" t="s">
        <v>1019</v>
      </c>
      <c r="I334" s="239" t="s">
        <v>886</v>
      </c>
      <c r="J334" s="118" t="s">
        <v>1357</v>
      </c>
      <c r="K334" s="118"/>
      <c r="L334" s="118"/>
      <c r="M334" s="265">
        <v>1917</v>
      </c>
      <c r="N334" s="239" t="s">
        <v>893</v>
      </c>
      <c r="O334" s="265">
        <v>4</v>
      </c>
      <c r="P334" s="239">
        <v>0</v>
      </c>
      <c r="Q334" s="265">
        <v>1</v>
      </c>
      <c r="R334" s="239">
        <v>33</v>
      </c>
      <c r="S334" s="266">
        <f t="shared" si="9"/>
        <v>2094.5</v>
      </c>
      <c r="T334" s="267">
        <v>2094.5</v>
      </c>
      <c r="U334" s="267">
        <v>2050.6</v>
      </c>
      <c r="V334" s="267">
        <v>0</v>
      </c>
      <c r="W334" s="268" t="s">
        <v>218</v>
      </c>
      <c r="X334" s="268" t="s">
        <v>218</v>
      </c>
      <c r="Y334" s="269" t="s">
        <v>218</v>
      </c>
      <c r="Z334" s="270" t="s">
        <v>218</v>
      </c>
      <c r="AA334" s="268" t="s">
        <v>218</v>
      </c>
      <c r="AB334" s="268" t="s">
        <v>218</v>
      </c>
      <c r="AC334" s="269" t="s">
        <v>219</v>
      </c>
      <c r="AD334" s="268" t="s">
        <v>218</v>
      </c>
      <c r="AE334" s="269" t="s">
        <v>219</v>
      </c>
      <c r="AF334" s="268">
        <v>0</v>
      </c>
      <c r="AG334" s="239" t="s">
        <v>910</v>
      </c>
      <c r="AH334" s="239"/>
      <c r="AI334" s="239">
        <v>1</v>
      </c>
      <c r="AJ334" s="239">
        <v>1</v>
      </c>
      <c r="AK334" s="81"/>
      <c r="AL334" s="81"/>
    </row>
    <row r="335" spans="1:38" s="83" customFormat="1" ht="32.25" customHeight="1" x14ac:dyDescent="0.3">
      <c r="A335" s="5">
        <v>328</v>
      </c>
      <c r="B335" s="84" t="s">
        <v>196</v>
      </c>
      <c r="C335" s="81"/>
      <c r="D335" s="240" t="s">
        <v>1355</v>
      </c>
      <c r="E335" s="239" t="s">
        <v>1362</v>
      </c>
      <c r="F335" s="239"/>
      <c r="G335" s="239" t="s">
        <v>245</v>
      </c>
      <c r="H335" s="84" t="s">
        <v>1020</v>
      </c>
      <c r="I335" s="239" t="s">
        <v>886</v>
      </c>
      <c r="J335" s="239" t="s">
        <v>887</v>
      </c>
      <c r="K335" s="118"/>
      <c r="L335" s="239"/>
      <c r="M335" s="265">
        <v>1908</v>
      </c>
      <c r="N335" s="239" t="s">
        <v>893</v>
      </c>
      <c r="O335" s="265">
        <v>6</v>
      </c>
      <c r="P335" s="239">
        <v>0</v>
      </c>
      <c r="Q335" s="265">
        <v>3</v>
      </c>
      <c r="R335" s="239">
        <v>64</v>
      </c>
      <c r="S335" s="266">
        <f t="shared" si="9"/>
        <v>4368.6000000000004</v>
      </c>
      <c r="T335" s="267">
        <v>4368.6000000000004</v>
      </c>
      <c r="U335" s="267">
        <v>3729.7</v>
      </c>
      <c r="V335" s="267">
        <v>290.59999999999997</v>
      </c>
      <c r="W335" s="268" t="s">
        <v>218</v>
      </c>
      <c r="X335" s="268" t="s">
        <v>218</v>
      </c>
      <c r="Y335" s="269" t="s">
        <v>218</v>
      </c>
      <c r="Z335" s="270" t="s">
        <v>218</v>
      </c>
      <c r="AA335" s="268" t="s">
        <v>218</v>
      </c>
      <c r="AB335" s="268" t="s">
        <v>218</v>
      </c>
      <c r="AC335" s="269" t="s">
        <v>219</v>
      </c>
      <c r="AD335" s="268" t="s">
        <v>218</v>
      </c>
      <c r="AE335" s="269" t="s">
        <v>219</v>
      </c>
      <c r="AF335" s="268">
        <v>2</v>
      </c>
      <c r="AG335" s="239">
        <v>1</v>
      </c>
      <c r="AH335" s="239"/>
      <c r="AI335" s="239">
        <v>1</v>
      </c>
      <c r="AJ335" s="239">
        <v>1</v>
      </c>
      <c r="AK335" s="81"/>
      <c r="AL335" s="81"/>
    </row>
    <row r="336" spans="1:38" s="83" customFormat="1" ht="32.25" customHeight="1" x14ac:dyDescent="0.3">
      <c r="A336" s="80">
        <v>329</v>
      </c>
      <c r="B336" s="84" t="s">
        <v>196</v>
      </c>
      <c r="C336" s="81"/>
      <c r="D336" s="240" t="s">
        <v>1355</v>
      </c>
      <c r="E336" s="239" t="s">
        <v>1362</v>
      </c>
      <c r="F336" s="239"/>
      <c r="G336" s="239" t="s">
        <v>1356</v>
      </c>
      <c r="H336" s="84" t="s">
        <v>1021</v>
      </c>
      <c r="I336" s="239" t="s">
        <v>886</v>
      </c>
      <c r="J336" s="239" t="s">
        <v>887</v>
      </c>
      <c r="K336" s="118"/>
      <c r="L336" s="239"/>
      <c r="M336" s="265">
        <v>1917</v>
      </c>
      <c r="N336" s="239" t="s">
        <v>893</v>
      </c>
      <c r="O336" s="265">
        <v>5</v>
      </c>
      <c r="P336" s="239">
        <v>0</v>
      </c>
      <c r="Q336" s="265">
        <v>3</v>
      </c>
      <c r="R336" s="239">
        <v>60</v>
      </c>
      <c r="S336" s="266">
        <f t="shared" si="9"/>
        <v>4867.5</v>
      </c>
      <c r="T336" s="267">
        <v>4867.5</v>
      </c>
      <c r="U336" s="267">
        <v>4185.6000000000004</v>
      </c>
      <c r="V336" s="267">
        <v>0</v>
      </c>
      <c r="W336" s="268" t="s">
        <v>218</v>
      </c>
      <c r="X336" s="268" t="s">
        <v>218</v>
      </c>
      <c r="Y336" s="269" t="s">
        <v>218</v>
      </c>
      <c r="Z336" s="270" t="s">
        <v>218</v>
      </c>
      <c r="AA336" s="268" t="s">
        <v>218</v>
      </c>
      <c r="AB336" s="268" t="s">
        <v>218</v>
      </c>
      <c r="AC336" s="269" t="s">
        <v>219</v>
      </c>
      <c r="AD336" s="268" t="s">
        <v>218</v>
      </c>
      <c r="AE336" s="269" t="s">
        <v>219</v>
      </c>
      <c r="AF336" s="268">
        <v>0</v>
      </c>
      <c r="AG336" s="239">
        <v>1</v>
      </c>
      <c r="AH336" s="239"/>
      <c r="AI336" s="239">
        <v>1</v>
      </c>
      <c r="AJ336" s="239">
        <v>1</v>
      </c>
      <c r="AK336" s="81"/>
      <c r="AL336" s="81"/>
    </row>
    <row r="337" spans="1:38" s="83" customFormat="1" ht="32.25" customHeight="1" x14ac:dyDescent="0.3">
      <c r="A337" s="5">
        <v>330</v>
      </c>
      <c r="B337" s="84" t="s">
        <v>196</v>
      </c>
      <c r="C337" s="81"/>
      <c r="D337" s="240" t="s">
        <v>1355</v>
      </c>
      <c r="E337" s="239">
        <v>62</v>
      </c>
      <c r="F337" s="239"/>
      <c r="G337" s="239" t="s">
        <v>245</v>
      </c>
      <c r="H337" s="84" t="s">
        <v>1022</v>
      </c>
      <c r="I337" s="239" t="s">
        <v>886</v>
      </c>
      <c r="J337" s="118" t="s">
        <v>1358</v>
      </c>
      <c r="K337" s="118"/>
      <c r="L337" s="118"/>
      <c r="M337" s="265">
        <v>1887</v>
      </c>
      <c r="N337" s="239" t="s">
        <v>893</v>
      </c>
      <c r="O337" s="265">
        <v>4</v>
      </c>
      <c r="P337" s="239">
        <v>0</v>
      </c>
      <c r="Q337" s="265">
        <v>1</v>
      </c>
      <c r="R337" s="239">
        <v>10</v>
      </c>
      <c r="S337" s="266">
        <f t="shared" si="9"/>
        <v>682.5</v>
      </c>
      <c r="T337" s="267">
        <v>682.5</v>
      </c>
      <c r="U337" s="267">
        <v>650.5</v>
      </c>
      <c r="V337" s="267">
        <v>0</v>
      </c>
      <c r="W337" s="268" t="s">
        <v>218</v>
      </c>
      <c r="X337" s="268" t="s">
        <v>218</v>
      </c>
      <c r="Y337" s="269" t="s">
        <v>219</v>
      </c>
      <c r="Z337" s="270" t="s">
        <v>218</v>
      </c>
      <c r="AA337" s="268" t="s">
        <v>218</v>
      </c>
      <c r="AB337" s="268" t="s">
        <v>218</v>
      </c>
      <c r="AC337" s="269" t="s">
        <v>218</v>
      </c>
      <c r="AD337" s="268" t="s">
        <v>218</v>
      </c>
      <c r="AE337" s="269" t="s">
        <v>219</v>
      </c>
      <c r="AF337" s="268">
        <v>1</v>
      </c>
      <c r="AG337" s="239">
        <v>1</v>
      </c>
      <c r="AH337" s="239"/>
      <c r="AI337" s="239">
        <v>0</v>
      </c>
      <c r="AJ337" s="239">
        <v>0</v>
      </c>
      <c r="AK337" s="81"/>
      <c r="AL337" s="81"/>
    </row>
    <row r="338" spans="1:38" s="83" customFormat="1" ht="32.25" customHeight="1" x14ac:dyDescent="0.3">
      <c r="A338" s="80">
        <v>331</v>
      </c>
      <c r="B338" s="84" t="s">
        <v>196</v>
      </c>
      <c r="C338" s="81"/>
      <c r="D338" s="240" t="s">
        <v>1355</v>
      </c>
      <c r="E338" s="239">
        <v>62</v>
      </c>
      <c r="F338" s="239"/>
      <c r="G338" s="239" t="s">
        <v>1356</v>
      </c>
      <c r="H338" s="84" t="s">
        <v>1023</v>
      </c>
      <c r="I338" s="239" t="s">
        <v>886</v>
      </c>
      <c r="J338" s="118" t="s">
        <v>1358</v>
      </c>
      <c r="K338" s="118"/>
      <c r="L338" s="118"/>
      <c r="M338" s="265">
        <v>1905</v>
      </c>
      <c r="N338" s="239" t="s">
        <v>893</v>
      </c>
      <c r="O338" s="265">
        <v>5</v>
      </c>
      <c r="P338" s="239">
        <v>0</v>
      </c>
      <c r="Q338" s="265">
        <v>1</v>
      </c>
      <c r="R338" s="239">
        <v>20</v>
      </c>
      <c r="S338" s="266">
        <f t="shared" si="9"/>
        <v>1662.2</v>
      </c>
      <c r="T338" s="267">
        <v>1662.2</v>
      </c>
      <c r="U338" s="267">
        <v>1645.2</v>
      </c>
      <c r="V338" s="267">
        <v>0</v>
      </c>
      <c r="W338" s="268" t="s">
        <v>218</v>
      </c>
      <c r="X338" s="268" t="s">
        <v>218</v>
      </c>
      <c r="Y338" s="269" t="s">
        <v>219</v>
      </c>
      <c r="Z338" s="270" t="s">
        <v>218</v>
      </c>
      <c r="AA338" s="268" t="s">
        <v>218</v>
      </c>
      <c r="AB338" s="268" t="s">
        <v>218</v>
      </c>
      <c r="AC338" s="269" t="s">
        <v>218</v>
      </c>
      <c r="AD338" s="268" t="s">
        <v>218</v>
      </c>
      <c r="AE338" s="269" t="s">
        <v>219</v>
      </c>
      <c r="AF338" s="268">
        <v>0</v>
      </c>
      <c r="AG338" s="239">
        <v>1</v>
      </c>
      <c r="AH338" s="239"/>
      <c r="AI338" s="239">
        <v>0</v>
      </c>
      <c r="AJ338" s="239">
        <v>0</v>
      </c>
      <c r="AK338" s="81"/>
      <c r="AL338" s="81"/>
    </row>
    <row r="339" spans="1:38" s="83" customFormat="1" ht="32.25" customHeight="1" x14ac:dyDescent="0.3">
      <c r="A339" s="5">
        <v>332</v>
      </c>
      <c r="B339" s="84" t="s">
        <v>196</v>
      </c>
      <c r="C339" s="81"/>
      <c r="D339" s="240" t="s">
        <v>1355</v>
      </c>
      <c r="E339" s="239">
        <v>64</v>
      </c>
      <c r="F339" s="239"/>
      <c r="G339" s="239" t="s">
        <v>245</v>
      </c>
      <c r="H339" s="84" t="s">
        <v>1024</v>
      </c>
      <c r="I339" s="239" t="s">
        <v>886</v>
      </c>
      <c r="J339" s="118" t="s">
        <v>1357</v>
      </c>
      <c r="K339" s="118"/>
      <c r="L339" s="118"/>
      <c r="M339" s="265">
        <v>1897</v>
      </c>
      <c r="N339" s="239" t="s">
        <v>893</v>
      </c>
      <c r="O339" s="265">
        <v>4</v>
      </c>
      <c r="P339" s="239">
        <v>0</v>
      </c>
      <c r="Q339" s="265">
        <v>1</v>
      </c>
      <c r="R339" s="239">
        <v>6</v>
      </c>
      <c r="S339" s="266">
        <f t="shared" si="9"/>
        <v>780</v>
      </c>
      <c r="T339" s="267">
        <v>780</v>
      </c>
      <c r="U339" s="267">
        <v>566.5</v>
      </c>
      <c r="V339" s="267">
        <v>187.1</v>
      </c>
      <c r="W339" s="268" t="s">
        <v>218</v>
      </c>
      <c r="X339" s="268" t="s">
        <v>218</v>
      </c>
      <c r="Y339" s="269" t="s">
        <v>218</v>
      </c>
      <c r="Z339" s="270" t="s">
        <v>218</v>
      </c>
      <c r="AA339" s="268" t="s">
        <v>218</v>
      </c>
      <c r="AB339" s="268" t="s">
        <v>218</v>
      </c>
      <c r="AC339" s="269" t="s">
        <v>219</v>
      </c>
      <c r="AD339" s="268" t="s">
        <v>218</v>
      </c>
      <c r="AE339" s="269" t="s">
        <v>219</v>
      </c>
      <c r="AF339" s="268">
        <v>0</v>
      </c>
      <c r="AG339" s="239">
        <v>1</v>
      </c>
      <c r="AH339" s="239"/>
      <c r="AI339" s="239">
        <v>0</v>
      </c>
      <c r="AJ339" s="239">
        <v>0</v>
      </c>
      <c r="AK339" s="81"/>
      <c r="AL339" s="81"/>
    </row>
    <row r="340" spans="1:38" s="278" customFormat="1" ht="32.25" customHeight="1" x14ac:dyDescent="0.3">
      <c r="A340" s="80">
        <v>333</v>
      </c>
      <c r="B340" s="84" t="s">
        <v>196</v>
      </c>
      <c r="C340" s="81"/>
      <c r="D340" s="276" t="s">
        <v>1355</v>
      </c>
      <c r="E340" s="277">
        <v>66</v>
      </c>
      <c r="F340" s="277"/>
      <c r="G340" s="239" t="s">
        <v>245</v>
      </c>
      <c r="H340" s="84" t="s">
        <v>1025</v>
      </c>
      <c r="I340" s="239" t="s">
        <v>886</v>
      </c>
      <c r="J340" s="118" t="s">
        <v>1358</v>
      </c>
      <c r="K340" s="279"/>
      <c r="L340" s="279"/>
      <c r="M340" s="265">
        <v>1902</v>
      </c>
      <c r="N340" s="239" t="s">
        <v>893</v>
      </c>
      <c r="O340" s="265">
        <v>5</v>
      </c>
      <c r="P340" s="239">
        <v>0</v>
      </c>
      <c r="Q340" s="265">
        <v>1</v>
      </c>
      <c r="R340" s="277">
        <v>12</v>
      </c>
      <c r="S340" s="266">
        <f t="shared" si="9"/>
        <v>953.5</v>
      </c>
      <c r="T340" s="267">
        <v>953.5</v>
      </c>
      <c r="U340" s="267">
        <v>815.8</v>
      </c>
      <c r="V340" s="267">
        <v>126.9</v>
      </c>
      <c r="W340" s="269" t="s">
        <v>218</v>
      </c>
      <c r="X340" s="269" t="s">
        <v>218</v>
      </c>
      <c r="Y340" s="269" t="s">
        <v>218</v>
      </c>
      <c r="Z340" s="270" t="s">
        <v>218</v>
      </c>
      <c r="AA340" s="269" t="s">
        <v>218</v>
      </c>
      <c r="AB340" s="269" t="s">
        <v>219</v>
      </c>
      <c r="AC340" s="269" t="s">
        <v>219</v>
      </c>
      <c r="AD340" s="269" t="s">
        <v>219</v>
      </c>
      <c r="AE340" s="269" t="s">
        <v>218</v>
      </c>
      <c r="AF340" s="269">
        <v>0</v>
      </c>
      <c r="AG340" s="277">
        <v>1</v>
      </c>
      <c r="AH340" s="277"/>
      <c r="AI340" s="277">
        <v>0</v>
      </c>
      <c r="AJ340" s="277">
        <v>0</v>
      </c>
      <c r="AK340" s="275"/>
      <c r="AL340" s="275"/>
    </row>
    <row r="341" spans="1:38" s="278" customFormat="1" ht="32.25" customHeight="1" x14ac:dyDescent="0.3">
      <c r="A341" s="5">
        <v>334</v>
      </c>
      <c r="B341" s="84" t="s">
        <v>196</v>
      </c>
      <c r="C341" s="81"/>
      <c r="D341" s="276" t="s">
        <v>1355</v>
      </c>
      <c r="E341" s="277">
        <v>72</v>
      </c>
      <c r="F341" s="277"/>
      <c r="G341" s="239" t="s">
        <v>245</v>
      </c>
      <c r="H341" s="84" t="s">
        <v>1026</v>
      </c>
      <c r="I341" s="239" t="s">
        <v>886</v>
      </c>
      <c r="J341" s="279" t="s">
        <v>904</v>
      </c>
      <c r="K341" s="279"/>
      <c r="L341" s="279"/>
      <c r="M341" s="265">
        <v>1913</v>
      </c>
      <c r="N341" s="239" t="s">
        <v>893</v>
      </c>
      <c r="O341" s="265">
        <v>6</v>
      </c>
      <c r="P341" s="239">
        <v>0</v>
      </c>
      <c r="Q341" s="265">
        <v>1</v>
      </c>
      <c r="R341" s="277">
        <v>23</v>
      </c>
      <c r="S341" s="266">
        <f t="shared" si="9"/>
        <v>1211.2</v>
      </c>
      <c r="T341" s="267">
        <v>1211.2</v>
      </c>
      <c r="U341" s="267">
        <v>1165.5999999999999</v>
      </c>
      <c r="V341" s="267">
        <v>36.799999999999997</v>
      </c>
      <c r="W341" s="269" t="s">
        <v>218</v>
      </c>
      <c r="X341" s="269" t="s">
        <v>218</v>
      </c>
      <c r="Y341" s="269" t="s">
        <v>218</v>
      </c>
      <c r="Z341" s="270" t="s">
        <v>218</v>
      </c>
      <c r="AA341" s="269" t="s">
        <v>218</v>
      </c>
      <c r="AB341" s="269" t="s">
        <v>218</v>
      </c>
      <c r="AC341" s="269" t="s">
        <v>219</v>
      </c>
      <c r="AD341" s="269" t="s">
        <v>218</v>
      </c>
      <c r="AE341" s="269" t="s">
        <v>219</v>
      </c>
      <c r="AF341" s="269">
        <v>1</v>
      </c>
      <c r="AG341" s="277">
        <v>1</v>
      </c>
      <c r="AH341" s="277"/>
      <c r="AI341" s="277">
        <v>1</v>
      </c>
      <c r="AJ341" s="277">
        <v>1</v>
      </c>
      <c r="AK341" s="275"/>
      <c r="AL341" s="275"/>
    </row>
    <row r="342" spans="1:38" s="278" customFormat="1" ht="32.25" customHeight="1" x14ac:dyDescent="0.3">
      <c r="A342" s="80">
        <v>335</v>
      </c>
      <c r="B342" s="84" t="s">
        <v>196</v>
      </c>
      <c r="C342" s="81"/>
      <c r="D342" s="276" t="s">
        <v>1355</v>
      </c>
      <c r="E342" s="277">
        <v>72</v>
      </c>
      <c r="F342" s="277"/>
      <c r="G342" s="277" t="s">
        <v>1356</v>
      </c>
      <c r="H342" s="84" t="s">
        <v>1027</v>
      </c>
      <c r="I342" s="239" t="s">
        <v>886</v>
      </c>
      <c r="J342" s="118" t="s">
        <v>1358</v>
      </c>
      <c r="K342" s="279"/>
      <c r="L342" s="279"/>
      <c r="M342" s="265">
        <v>1913</v>
      </c>
      <c r="N342" s="239" t="s">
        <v>893</v>
      </c>
      <c r="O342" s="265">
        <v>6</v>
      </c>
      <c r="P342" s="239">
        <v>0</v>
      </c>
      <c r="Q342" s="265">
        <v>1</v>
      </c>
      <c r="R342" s="277">
        <v>24</v>
      </c>
      <c r="S342" s="266">
        <f t="shared" si="9"/>
        <v>1192.5</v>
      </c>
      <c r="T342" s="267">
        <v>1192.5</v>
      </c>
      <c r="U342" s="267">
        <v>1192.5</v>
      </c>
      <c r="V342" s="267">
        <v>0</v>
      </c>
      <c r="W342" s="269" t="s">
        <v>218</v>
      </c>
      <c r="X342" s="269" t="s">
        <v>218</v>
      </c>
      <c r="Y342" s="269" t="s">
        <v>218</v>
      </c>
      <c r="Z342" s="270" t="s">
        <v>218</v>
      </c>
      <c r="AA342" s="269" t="s">
        <v>218</v>
      </c>
      <c r="AB342" s="269" t="s">
        <v>218</v>
      </c>
      <c r="AC342" s="269" t="s">
        <v>219</v>
      </c>
      <c r="AD342" s="269" t="s">
        <v>218</v>
      </c>
      <c r="AE342" s="269" t="s">
        <v>219</v>
      </c>
      <c r="AF342" s="269">
        <v>1</v>
      </c>
      <c r="AG342" s="277">
        <v>1</v>
      </c>
      <c r="AH342" s="277"/>
      <c r="AI342" s="277">
        <v>1</v>
      </c>
      <c r="AJ342" s="277">
        <v>1</v>
      </c>
      <c r="AK342" s="275"/>
      <c r="AL342" s="275"/>
    </row>
    <row r="343" spans="1:38" s="278" customFormat="1" ht="32.25" customHeight="1" x14ac:dyDescent="0.3">
      <c r="A343" s="5">
        <v>336</v>
      </c>
      <c r="B343" s="84" t="s">
        <v>196</v>
      </c>
      <c r="C343" s="81"/>
      <c r="D343" s="276" t="s">
        <v>1355</v>
      </c>
      <c r="E343" s="277">
        <v>74</v>
      </c>
      <c r="F343" s="277"/>
      <c r="G343" s="277" t="s">
        <v>245</v>
      </c>
      <c r="H343" s="84" t="s">
        <v>1028</v>
      </c>
      <c r="I343" s="239" t="s">
        <v>886</v>
      </c>
      <c r="J343" s="118" t="s">
        <v>1358</v>
      </c>
      <c r="K343" s="279"/>
      <c r="L343" s="279"/>
      <c r="M343" s="265">
        <v>1917</v>
      </c>
      <c r="N343" s="239" t="s">
        <v>893</v>
      </c>
      <c r="O343" s="265">
        <v>5</v>
      </c>
      <c r="P343" s="239">
        <v>0</v>
      </c>
      <c r="Q343" s="265">
        <v>2</v>
      </c>
      <c r="R343" s="277">
        <v>9</v>
      </c>
      <c r="S343" s="266">
        <f t="shared" si="9"/>
        <v>2421.6</v>
      </c>
      <c r="T343" s="267">
        <v>2421.6</v>
      </c>
      <c r="U343" s="267">
        <v>2057.6</v>
      </c>
      <c r="V343" s="267">
        <v>86.4</v>
      </c>
      <c r="W343" s="269" t="s">
        <v>218</v>
      </c>
      <c r="X343" s="269" t="s">
        <v>218</v>
      </c>
      <c r="Y343" s="269" t="s">
        <v>218</v>
      </c>
      <c r="Z343" s="270" t="s">
        <v>218</v>
      </c>
      <c r="AA343" s="269" t="s">
        <v>218</v>
      </c>
      <c r="AB343" s="269" t="s">
        <v>218</v>
      </c>
      <c r="AC343" s="269" t="s">
        <v>219</v>
      </c>
      <c r="AD343" s="269" t="s">
        <v>218</v>
      </c>
      <c r="AE343" s="269" t="s">
        <v>219</v>
      </c>
      <c r="AF343" s="269">
        <v>0</v>
      </c>
      <c r="AG343" s="277">
        <v>1</v>
      </c>
      <c r="AH343" s="277"/>
      <c r="AI343" s="277">
        <v>1</v>
      </c>
      <c r="AJ343" s="277">
        <v>1</v>
      </c>
      <c r="AK343" s="275"/>
      <c r="AL343" s="275"/>
    </row>
    <row r="344" spans="1:38" s="278" customFormat="1" ht="32.25" customHeight="1" x14ac:dyDescent="0.3">
      <c r="A344" s="80">
        <v>337</v>
      </c>
      <c r="B344" s="84" t="s">
        <v>196</v>
      </c>
      <c r="C344" s="81"/>
      <c r="D344" s="276" t="s">
        <v>1355</v>
      </c>
      <c r="E344" s="277">
        <v>76</v>
      </c>
      <c r="F344" s="277"/>
      <c r="G344" s="277" t="s">
        <v>245</v>
      </c>
      <c r="H344" s="84" t="s">
        <v>1029</v>
      </c>
      <c r="I344" s="239" t="s">
        <v>886</v>
      </c>
      <c r="J344" s="118" t="s">
        <v>1358</v>
      </c>
      <c r="K344" s="279"/>
      <c r="L344" s="279"/>
      <c r="M344" s="265">
        <v>1903</v>
      </c>
      <c r="N344" s="239" t="s">
        <v>893</v>
      </c>
      <c r="O344" s="265">
        <v>4</v>
      </c>
      <c r="P344" s="239">
        <v>0</v>
      </c>
      <c r="Q344" s="265">
        <v>1</v>
      </c>
      <c r="R344" s="277">
        <v>11</v>
      </c>
      <c r="S344" s="266">
        <f t="shared" ref="S344:S407" si="10">T344</f>
        <v>759.8</v>
      </c>
      <c r="T344" s="267">
        <v>759.8</v>
      </c>
      <c r="U344" s="267">
        <v>663.7</v>
      </c>
      <c r="V344" s="267">
        <v>0</v>
      </c>
      <c r="W344" s="269" t="s">
        <v>218</v>
      </c>
      <c r="X344" s="269" t="s">
        <v>218</v>
      </c>
      <c r="Y344" s="269" t="s">
        <v>219</v>
      </c>
      <c r="Z344" s="270" t="s">
        <v>218</v>
      </c>
      <c r="AA344" s="269" t="s">
        <v>218</v>
      </c>
      <c r="AB344" s="269" t="s">
        <v>218</v>
      </c>
      <c r="AC344" s="269" t="s">
        <v>218</v>
      </c>
      <c r="AD344" s="269" t="s">
        <v>218</v>
      </c>
      <c r="AE344" s="269" t="s">
        <v>219</v>
      </c>
      <c r="AF344" s="269">
        <v>0</v>
      </c>
      <c r="AG344" s="277">
        <v>1</v>
      </c>
      <c r="AH344" s="277"/>
      <c r="AI344" s="277">
        <v>1</v>
      </c>
      <c r="AJ344" s="277">
        <v>1</v>
      </c>
      <c r="AK344" s="275"/>
      <c r="AL344" s="275"/>
    </row>
    <row r="345" spans="1:38" s="278" customFormat="1" ht="32.25" customHeight="1" x14ac:dyDescent="0.3">
      <c r="A345" s="5">
        <v>338</v>
      </c>
      <c r="B345" s="84" t="s">
        <v>196</v>
      </c>
      <c r="C345" s="81"/>
      <c r="D345" s="276" t="s">
        <v>1355</v>
      </c>
      <c r="E345" s="277">
        <v>78</v>
      </c>
      <c r="F345" s="277"/>
      <c r="G345" s="277" t="s">
        <v>245</v>
      </c>
      <c r="H345" s="84" t="s">
        <v>1030</v>
      </c>
      <c r="I345" s="239" t="s">
        <v>886</v>
      </c>
      <c r="J345" s="118" t="s">
        <v>1358</v>
      </c>
      <c r="K345" s="279"/>
      <c r="L345" s="279"/>
      <c r="M345" s="265">
        <v>1913</v>
      </c>
      <c r="N345" s="239" t="s">
        <v>893</v>
      </c>
      <c r="O345" s="265">
        <v>6</v>
      </c>
      <c r="P345" s="239">
        <v>0</v>
      </c>
      <c r="Q345" s="265">
        <v>1</v>
      </c>
      <c r="R345" s="277">
        <v>11</v>
      </c>
      <c r="S345" s="266">
        <f t="shared" si="10"/>
        <v>1124.3</v>
      </c>
      <c r="T345" s="267">
        <v>1124.3</v>
      </c>
      <c r="U345" s="267">
        <v>1031.5</v>
      </c>
      <c r="V345" s="267">
        <v>76.3</v>
      </c>
      <c r="W345" s="269" t="s">
        <v>218</v>
      </c>
      <c r="X345" s="269" t="s">
        <v>218</v>
      </c>
      <c r="Y345" s="269" t="s">
        <v>218</v>
      </c>
      <c r="Z345" s="270" t="s">
        <v>218</v>
      </c>
      <c r="AA345" s="269" t="s">
        <v>218</v>
      </c>
      <c r="AB345" s="269" t="s">
        <v>218</v>
      </c>
      <c r="AC345" s="269" t="s">
        <v>219</v>
      </c>
      <c r="AD345" s="269" t="s">
        <v>218</v>
      </c>
      <c r="AE345" s="269" t="s">
        <v>219</v>
      </c>
      <c r="AF345" s="269">
        <v>1</v>
      </c>
      <c r="AG345" s="277">
        <v>1</v>
      </c>
      <c r="AH345" s="277"/>
      <c r="AI345" s="277">
        <v>1</v>
      </c>
      <c r="AJ345" s="277">
        <v>1</v>
      </c>
      <c r="AK345" s="275"/>
      <c r="AL345" s="275"/>
    </row>
    <row r="346" spans="1:38" s="278" customFormat="1" ht="32.25" customHeight="1" x14ac:dyDescent="0.3">
      <c r="A346" s="80">
        <v>339</v>
      </c>
      <c r="B346" s="84" t="s">
        <v>196</v>
      </c>
      <c r="C346" s="81"/>
      <c r="D346" s="276" t="s">
        <v>1355</v>
      </c>
      <c r="E346" s="277">
        <v>78</v>
      </c>
      <c r="F346" s="277"/>
      <c r="G346" s="277" t="s">
        <v>1356</v>
      </c>
      <c r="H346" s="84" t="s">
        <v>1031</v>
      </c>
      <c r="I346" s="239" t="s">
        <v>886</v>
      </c>
      <c r="J346" s="118" t="s">
        <v>1358</v>
      </c>
      <c r="K346" s="279"/>
      <c r="L346" s="279"/>
      <c r="M346" s="265">
        <v>1913</v>
      </c>
      <c r="N346" s="239" t="s">
        <v>893</v>
      </c>
      <c r="O346" s="265">
        <v>6</v>
      </c>
      <c r="P346" s="239">
        <v>0</v>
      </c>
      <c r="Q346" s="265">
        <v>1</v>
      </c>
      <c r="R346" s="277">
        <v>14</v>
      </c>
      <c r="S346" s="266">
        <f t="shared" si="10"/>
        <v>986.3</v>
      </c>
      <c r="T346" s="267">
        <v>986.3</v>
      </c>
      <c r="U346" s="267">
        <v>986.3</v>
      </c>
      <c r="V346" s="267">
        <v>0</v>
      </c>
      <c r="W346" s="269" t="s">
        <v>218</v>
      </c>
      <c r="X346" s="269" t="s">
        <v>218</v>
      </c>
      <c r="Y346" s="269" t="s">
        <v>218</v>
      </c>
      <c r="Z346" s="270" t="s">
        <v>218</v>
      </c>
      <c r="AA346" s="269" t="s">
        <v>218</v>
      </c>
      <c r="AB346" s="269" t="s">
        <v>218</v>
      </c>
      <c r="AC346" s="269" t="s">
        <v>219</v>
      </c>
      <c r="AD346" s="269" t="s">
        <v>218</v>
      </c>
      <c r="AE346" s="269" t="s">
        <v>219</v>
      </c>
      <c r="AF346" s="269">
        <v>0</v>
      </c>
      <c r="AG346" s="277" t="s">
        <v>911</v>
      </c>
      <c r="AH346" s="277"/>
      <c r="AI346" s="277">
        <v>1</v>
      </c>
      <c r="AJ346" s="277">
        <v>1</v>
      </c>
      <c r="AK346" s="275"/>
      <c r="AL346" s="275"/>
    </row>
    <row r="347" spans="1:38" s="278" customFormat="1" ht="32.25" customHeight="1" x14ac:dyDescent="0.3">
      <c r="A347" s="5">
        <v>340</v>
      </c>
      <c r="B347" s="84" t="s">
        <v>196</v>
      </c>
      <c r="C347" s="81"/>
      <c r="D347" s="276" t="s">
        <v>1363</v>
      </c>
      <c r="E347" s="277">
        <v>84</v>
      </c>
      <c r="F347" s="277"/>
      <c r="G347" s="277" t="s">
        <v>245</v>
      </c>
      <c r="H347" s="84" t="s">
        <v>1032</v>
      </c>
      <c r="I347" s="239" t="s">
        <v>886</v>
      </c>
      <c r="J347" s="279" t="s">
        <v>904</v>
      </c>
      <c r="K347" s="279"/>
      <c r="L347" s="279"/>
      <c r="M347" s="265">
        <v>1917</v>
      </c>
      <c r="N347" s="239" t="s">
        <v>893</v>
      </c>
      <c r="O347" s="265">
        <v>3</v>
      </c>
      <c r="P347" s="239">
        <v>0</v>
      </c>
      <c r="Q347" s="265">
        <v>2</v>
      </c>
      <c r="R347" s="277">
        <v>14</v>
      </c>
      <c r="S347" s="266">
        <f t="shared" si="10"/>
        <v>1862.1</v>
      </c>
      <c r="T347" s="267">
        <v>1862.1</v>
      </c>
      <c r="U347" s="267">
        <v>1244.3</v>
      </c>
      <c r="V347" s="267">
        <v>617.79999999999995</v>
      </c>
      <c r="W347" s="269" t="s">
        <v>218</v>
      </c>
      <c r="X347" s="269" t="s">
        <v>218</v>
      </c>
      <c r="Y347" s="269" t="s">
        <v>218</v>
      </c>
      <c r="Z347" s="270" t="s">
        <v>218</v>
      </c>
      <c r="AA347" s="269" t="s">
        <v>218</v>
      </c>
      <c r="AB347" s="269" t="s">
        <v>218</v>
      </c>
      <c r="AC347" s="269" t="s">
        <v>219</v>
      </c>
      <c r="AD347" s="269" t="s">
        <v>218</v>
      </c>
      <c r="AE347" s="269" t="s">
        <v>219</v>
      </c>
      <c r="AF347" s="269">
        <v>0</v>
      </c>
      <c r="AG347" s="277">
        <v>1</v>
      </c>
      <c r="AH347" s="277"/>
      <c r="AI347" s="277">
        <v>1</v>
      </c>
      <c r="AJ347" s="277">
        <v>1</v>
      </c>
      <c r="AK347" s="275"/>
      <c r="AL347" s="275"/>
    </row>
    <row r="348" spans="1:38" s="278" customFormat="1" ht="32.25" customHeight="1" x14ac:dyDescent="0.3">
      <c r="A348" s="80">
        <v>341</v>
      </c>
      <c r="B348" s="84" t="s">
        <v>196</v>
      </c>
      <c r="C348" s="81"/>
      <c r="D348" s="276" t="s">
        <v>1359</v>
      </c>
      <c r="E348" s="277">
        <v>86</v>
      </c>
      <c r="F348" s="277"/>
      <c r="G348" s="277" t="s">
        <v>245</v>
      </c>
      <c r="H348" s="84" t="s">
        <v>1033</v>
      </c>
      <c r="I348" s="239" t="s">
        <v>886</v>
      </c>
      <c r="J348" s="118" t="s">
        <v>1358</v>
      </c>
      <c r="K348" s="279"/>
      <c r="L348" s="279"/>
      <c r="M348" s="265">
        <v>1892</v>
      </c>
      <c r="N348" s="239" t="s">
        <v>893</v>
      </c>
      <c r="O348" s="265">
        <v>5</v>
      </c>
      <c r="P348" s="239">
        <v>0</v>
      </c>
      <c r="Q348" s="265">
        <v>2</v>
      </c>
      <c r="R348" s="277">
        <v>15</v>
      </c>
      <c r="S348" s="266">
        <f t="shared" si="10"/>
        <v>2050.9</v>
      </c>
      <c r="T348" s="267">
        <v>2050.9</v>
      </c>
      <c r="U348" s="267">
        <v>1251.5999999999999</v>
      </c>
      <c r="V348" s="267">
        <v>799.3</v>
      </c>
      <c r="W348" s="269" t="s">
        <v>218</v>
      </c>
      <c r="X348" s="269" t="s">
        <v>218</v>
      </c>
      <c r="Y348" s="269" t="s">
        <v>218</v>
      </c>
      <c r="Z348" s="270" t="s">
        <v>218</v>
      </c>
      <c r="AA348" s="269" t="s">
        <v>218</v>
      </c>
      <c r="AB348" s="269" t="s">
        <v>218</v>
      </c>
      <c r="AC348" s="269" t="s">
        <v>219</v>
      </c>
      <c r="AD348" s="269" t="s">
        <v>218</v>
      </c>
      <c r="AE348" s="269" t="s">
        <v>219</v>
      </c>
      <c r="AF348" s="269">
        <v>0</v>
      </c>
      <c r="AG348" s="277">
        <v>1</v>
      </c>
      <c r="AH348" s="277"/>
      <c r="AI348" s="277">
        <v>1</v>
      </c>
      <c r="AJ348" s="277">
        <v>1</v>
      </c>
      <c r="AK348" s="275"/>
      <c r="AL348" s="275"/>
    </row>
    <row r="349" spans="1:38" s="278" customFormat="1" ht="32.25" customHeight="1" x14ac:dyDescent="0.3">
      <c r="A349" s="5">
        <v>342</v>
      </c>
      <c r="B349" s="84" t="s">
        <v>196</v>
      </c>
      <c r="C349" s="81"/>
      <c r="D349" s="276" t="s">
        <v>1364</v>
      </c>
      <c r="E349" s="277">
        <v>88</v>
      </c>
      <c r="F349" s="277"/>
      <c r="G349" s="277" t="s">
        <v>245</v>
      </c>
      <c r="H349" s="84" t="s">
        <v>1034</v>
      </c>
      <c r="I349" s="239" t="s">
        <v>886</v>
      </c>
      <c r="J349" s="277" t="s">
        <v>1360</v>
      </c>
      <c r="K349" s="279"/>
      <c r="L349" s="277"/>
      <c r="M349" s="265">
        <v>1903</v>
      </c>
      <c r="N349" s="239" t="s">
        <v>893</v>
      </c>
      <c r="O349" s="265">
        <v>5</v>
      </c>
      <c r="P349" s="239">
        <v>0</v>
      </c>
      <c r="Q349" s="265">
        <v>1</v>
      </c>
      <c r="R349" s="277">
        <v>16</v>
      </c>
      <c r="S349" s="266">
        <f t="shared" si="10"/>
        <v>1886.4</v>
      </c>
      <c r="T349" s="267">
        <v>1886.4</v>
      </c>
      <c r="U349" s="267">
        <v>1548.9</v>
      </c>
      <c r="V349" s="267">
        <v>97.5</v>
      </c>
      <c r="W349" s="269" t="s">
        <v>218</v>
      </c>
      <c r="X349" s="269" t="s">
        <v>218</v>
      </c>
      <c r="Y349" s="269" t="s">
        <v>218</v>
      </c>
      <c r="Z349" s="270" t="s">
        <v>218</v>
      </c>
      <c r="AA349" s="269" t="s">
        <v>218</v>
      </c>
      <c r="AB349" s="269" t="s">
        <v>218</v>
      </c>
      <c r="AC349" s="269" t="s">
        <v>219</v>
      </c>
      <c r="AD349" s="269" t="s">
        <v>218</v>
      </c>
      <c r="AE349" s="269" t="s">
        <v>219</v>
      </c>
      <c r="AF349" s="269">
        <v>0</v>
      </c>
      <c r="AG349" s="277">
        <v>1</v>
      </c>
      <c r="AH349" s="277"/>
      <c r="AI349" s="277">
        <v>1</v>
      </c>
      <c r="AJ349" s="277">
        <v>1</v>
      </c>
      <c r="AK349" s="275"/>
      <c r="AL349" s="275"/>
    </row>
    <row r="350" spans="1:38" s="278" customFormat="1" ht="32.25" customHeight="1" x14ac:dyDescent="0.3">
      <c r="A350" s="80">
        <v>343</v>
      </c>
      <c r="B350" s="84" t="s">
        <v>196</v>
      </c>
      <c r="C350" s="81"/>
      <c r="D350" s="276" t="s">
        <v>1364</v>
      </c>
      <c r="E350" s="277">
        <v>94</v>
      </c>
      <c r="F350" s="277"/>
      <c r="G350" s="277" t="s">
        <v>245</v>
      </c>
      <c r="H350" s="84" t="s">
        <v>1035</v>
      </c>
      <c r="I350" s="239" t="s">
        <v>886</v>
      </c>
      <c r="J350" s="277" t="s">
        <v>1360</v>
      </c>
      <c r="K350" s="279"/>
      <c r="L350" s="277"/>
      <c r="M350" s="265">
        <v>1917</v>
      </c>
      <c r="N350" s="239" t="s">
        <v>893</v>
      </c>
      <c r="O350" s="265">
        <v>5</v>
      </c>
      <c r="P350" s="239">
        <v>0</v>
      </c>
      <c r="Q350" s="265">
        <v>1</v>
      </c>
      <c r="R350" s="277">
        <v>12</v>
      </c>
      <c r="S350" s="266">
        <f t="shared" si="10"/>
        <v>1165.3</v>
      </c>
      <c r="T350" s="267">
        <v>1165.3</v>
      </c>
      <c r="U350" s="267">
        <v>984.6</v>
      </c>
      <c r="V350" s="267">
        <v>157.6</v>
      </c>
      <c r="W350" s="269" t="s">
        <v>218</v>
      </c>
      <c r="X350" s="269" t="s">
        <v>218</v>
      </c>
      <c r="Y350" s="269" t="s">
        <v>218</v>
      </c>
      <c r="Z350" s="270" t="s">
        <v>218</v>
      </c>
      <c r="AA350" s="269" t="s">
        <v>218</v>
      </c>
      <c r="AB350" s="269" t="s">
        <v>218</v>
      </c>
      <c r="AC350" s="269" t="s">
        <v>219</v>
      </c>
      <c r="AD350" s="269" t="s">
        <v>218</v>
      </c>
      <c r="AE350" s="269" t="s">
        <v>219</v>
      </c>
      <c r="AF350" s="269">
        <v>0</v>
      </c>
      <c r="AG350" s="277">
        <v>1</v>
      </c>
      <c r="AH350" s="277"/>
      <c r="AI350" s="277">
        <v>1</v>
      </c>
      <c r="AJ350" s="277">
        <v>1</v>
      </c>
      <c r="AK350" s="275"/>
      <c r="AL350" s="275"/>
    </row>
    <row r="351" spans="1:38" s="278" customFormat="1" ht="32.25" customHeight="1" x14ac:dyDescent="0.3">
      <c r="A351" s="5">
        <v>344</v>
      </c>
      <c r="B351" s="84" t="s">
        <v>196</v>
      </c>
      <c r="C351" s="81"/>
      <c r="D351" s="276" t="s">
        <v>1364</v>
      </c>
      <c r="E351" s="277">
        <v>96</v>
      </c>
      <c r="F351" s="277"/>
      <c r="G351" s="277" t="s">
        <v>245</v>
      </c>
      <c r="H351" s="84" t="s">
        <v>1036</v>
      </c>
      <c r="I351" s="239" t="s">
        <v>886</v>
      </c>
      <c r="J351" s="118" t="s">
        <v>1358</v>
      </c>
      <c r="K351" s="279"/>
      <c r="L351" s="279"/>
      <c r="M351" s="265">
        <v>1917</v>
      </c>
      <c r="N351" s="239" t="s">
        <v>893</v>
      </c>
      <c r="O351" s="265">
        <v>4</v>
      </c>
      <c r="P351" s="239">
        <v>0</v>
      </c>
      <c r="Q351" s="265">
        <v>1</v>
      </c>
      <c r="R351" s="277">
        <v>16</v>
      </c>
      <c r="S351" s="266">
        <f t="shared" si="10"/>
        <v>1011.7</v>
      </c>
      <c r="T351" s="267">
        <v>1011.7</v>
      </c>
      <c r="U351" s="267">
        <v>1011.7</v>
      </c>
      <c r="V351" s="267">
        <v>0</v>
      </c>
      <c r="W351" s="269" t="s">
        <v>218</v>
      </c>
      <c r="X351" s="269" t="s">
        <v>218</v>
      </c>
      <c r="Y351" s="269" t="s">
        <v>218</v>
      </c>
      <c r="Z351" s="270" t="s">
        <v>218</v>
      </c>
      <c r="AA351" s="269" t="s">
        <v>218</v>
      </c>
      <c r="AB351" s="269" t="s">
        <v>219</v>
      </c>
      <c r="AC351" s="269" t="s">
        <v>219</v>
      </c>
      <c r="AD351" s="269" t="s">
        <v>219</v>
      </c>
      <c r="AE351" s="269" t="s">
        <v>218</v>
      </c>
      <c r="AF351" s="269">
        <v>0</v>
      </c>
      <c r="AG351" s="277">
        <v>1</v>
      </c>
      <c r="AH351" s="277"/>
      <c r="AI351" s="277">
        <v>1</v>
      </c>
      <c r="AJ351" s="277">
        <v>1</v>
      </c>
      <c r="AK351" s="275"/>
      <c r="AL351" s="275"/>
    </row>
    <row r="352" spans="1:38" s="278" customFormat="1" ht="32.25" customHeight="1" x14ac:dyDescent="0.3">
      <c r="A352" s="80">
        <v>345</v>
      </c>
      <c r="B352" s="84" t="s">
        <v>196</v>
      </c>
      <c r="C352" s="275"/>
      <c r="D352" s="276" t="s">
        <v>1365</v>
      </c>
      <c r="E352" s="277">
        <v>10</v>
      </c>
      <c r="F352" s="277">
        <v>2</v>
      </c>
      <c r="G352" s="277" t="s">
        <v>245</v>
      </c>
      <c r="H352" s="84" t="s">
        <v>1037</v>
      </c>
      <c r="I352" s="239" t="s">
        <v>886</v>
      </c>
      <c r="J352" s="277" t="s">
        <v>216</v>
      </c>
      <c r="K352" s="279" t="s">
        <v>912</v>
      </c>
      <c r="L352" s="277"/>
      <c r="M352" s="265">
        <v>1969</v>
      </c>
      <c r="N352" s="239" t="s">
        <v>889</v>
      </c>
      <c r="O352" s="265">
        <v>9</v>
      </c>
      <c r="P352" s="239">
        <v>0</v>
      </c>
      <c r="Q352" s="265">
        <v>6</v>
      </c>
      <c r="R352" s="277">
        <v>216</v>
      </c>
      <c r="S352" s="266">
        <f t="shared" si="10"/>
        <v>11225</v>
      </c>
      <c r="T352" s="267">
        <v>11225</v>
      </c>
      <c r="U352" s="267">
        <v>11225</v>
      </c>
      <c r="V352" s="267">
        <v>0</v>
      </c>
      <c r="W352" s="269" t="s">
        <v>218</v>
      </c>
      <c r="X352" s="269" t="s">
        <v>218</v>
      </c>
      <c r="Y352" s="269" t="s">
        <v>218</v>
      </c>
      <c r="Z352" s="270" t="s">
        <v>218</v>
      </c>
      <c r="AA352" s="269" t="s">
        <v>218</v>
      </c>
      <c r="AB352" s="269" t="s">
        <v>218</v>
      </c>
      <c r="AC352" s="269" t="s">
        <v>219</v>
      </c>
      <c r="AD352" s="269" t="s">
        <v>218</v>
      </c>
      <c r="AE352" s="269" t="s">
        <v>219</v>
      </c>
      <c r="AF352" s="269">
        <v>6</v>
      </c>
      <c r="AG352" s="277">
        <v>1</v>
      </c>
      <c r="AH352" s="277"/>
      <c r="AI352" s="277">
        <v>1</v>
      </c>
      <c r="AJ352" s="277">
        <v>1</v>
      </c>
      <c r="AK352" s="275"/>
      <c r="AL352" s="275"/>
    </row>
    <row r="353" spans="1:38" s="83" customFormat="1" ht="32.25" customHeight="1" x14ac:dyDescent="0.3">
      <c r="A353" s="5">
        <v>346</v>
      </c>
      <c r="B353" s="84" t="s">
        <v>196</v>
      </c>
      <c r="C353" s="274"/>
      <c r="D353" s="280" t="s">
        <v>1365</v>
      </c>
      <c r="E353" s="243">
        <v>12</v>
      </c>
      <c r="F353" s="243"/>
      <c r="G353" s="277" t="s">
        <v>245</v>
      </c>
      <c r="H353" s="84" t="s">
        <v>1038</v>
      </c>
      <c r="I353" s="239" t="s">
        <v>886</v>
      </c>
      <c r="J353" s="243" t="s">
        <v>216</v>
      </c>
      <c r="K353" s="301" t="s">
        <v>913</v>
      </c>
      <c r="L353" s="243"/>
      <c r="M353" s="265">
        <v>1968</v>
      </c>
      <c r="N353" s="239" t="s">
        <v>889</v>
      </c>
      <c r="O353" s="265">
        <v>5</v>
      </c>
      <c r="P353" s="239">
        <v>0</v>
      </c>
      <c r="Q353" s="265">
        <v>8</v>
      </c>
      <c r="R353" s="243">
        <v>159</v>
      </c>
      <c r="S353" s="266">
        <f t="shared" si="10"/>
        <v>7144.2</v>
      </c>
      <c r="T353" s="267">
        <v>7144.2</v>
      </c>
      <c r="U353" s="267">
        <v>7040.5</v>
      </c>
      <c r="V353" s="267">
        <v>0</v>
      </c>
      <c r="W353" s="268" t="s">
        <v>218</v>
      </c>
      <c r="X353" s="268" t="s">
        <v>218</v>
      </c>
      <c r="Y353" s="269" t="s">
        <v>218</v>
      </c>
      <c r="Z353" s="270" t="s">
        <v>218</v>
      </c>
      <c r="AA353" s="268" t="s">
        <v>218</v>
      </c>
      <c r="AB353" s="268" t="s">
        <v>218</v>
      </c>
      <c r="AC353" s="269" t="s">
        <v>219</v>
      </c>
      <c r="AD353" s="269" t="s">
        <v>218</v>
      </c>
      <c r="AE353" s="269" t="s">
        <v>219</v>
      </c>
      <c r="AF353" s="273">
        <v>0</v>
      </c>
      <c r="AG353" s="243">
        <v>1</v>
      </c>
      <c r="AH353" s="243"/>
      <c r="AI353" s="243">
        <v>1</v>
      </c>
      <c r="AJ353" s="243">
        <v>1</v>
      </c>
      <c r="AK353" s="274"/>
      <c r="AL353" s="274"/>
    </row>
    <row r="354" spans="1:38" s="81" customFormat="1" ht="32.25" customHeight="1" x14ac:dyDescent="0.3">
      <c r="A354" s="80">
        <v>347</v>
      </c>
      <c r="B354" s="84" t="s">
        <v>196</v>
      </c>
      <c r="C354" s="275"/>
      <c r="D354" s="240" t="s">
        <v>1365</v>
      </c>
      <c r="E354" s="239">
        <v>14</v>
      </c>
      <c r="F354" s="239">
        <v>1</v>
      </c>
      <c r="G354" s="277" t="s">
        <v>245</v>
      </c>
      <c r="H354" s="84" t="s">
        <v>1039</v>
      </c>
      <c r="I354" s="239" t="s">
        <v>886</v>
      </c>
      <c r="J354" s="239" t="s">
        <v>216</v>
      </c>
      <c r="K354" s="118" t="s">
        <v>356</v>
      </c>
      <c r="L354" s="239"/>
      <c r="M354" s="265">
        <v>1970</v>
      </c>
      <c r="N354" s="239" t="s">
        <v>889</v>
      </c>
      <c r="O354" s="265">
        <v>9</v>
      </c>
      <c r="P354" s="239">
        <v>0</v>
      </c>
      <c r="Q354" s="265">
        <v>10</v>
      </c>
      <c r="R354" s="239">
        <v>466</v>
      </c>
      <c r="S354" s="266">
        <f t="shared" si="10"/>
        <v>25745.200000000001</v>
      </c>
      <c r="T354" s="267">
        <v>25745.200000000001</v>
      </c>
      <c r="U354" s="267">
        <v>25605.4</v>
      </c>
      <c r="V354" s="267">
        <v>0</v>
      </c>
      <c r="W354" s="268" t="s">
        <v>218</v>
      </c>
      <c r="X354" s="268" t="s">
        <v>218</v>
      </c>
      <c r="Y354" s="269" t="s">
        <v>218</v>
      </c>
      <c r="Z354" s="270" t="s">
        <v>218</v>
      </c>
      <c r="AA354" s="268" t="s">
        <v>218</v>
      </c>
      <c r="AB354" s="268" t="s">
        <v>218</v>
      </c>
      <c r="AC354" s="269" t="s">
        <v>219</v>
      </c>
      <c r="AD354" s="269" t="s">
        <v>218</v>
      </c>
      <c r="AE354" s="269" t="s">
        <v>219</v>
      </c>
      <c r="AF354" s="268">
        <v>10</v>
      </c>
      <c r="AG354" s="239">
        <v>1</v>
      </c>
      <c r="AH354" s="239"/>
      <c r="AI354" s="239">
        <v>1</v>
      </c>
      <c r="AJ354" s="239">
        <v>1</v>
      </c>
    </row>
    <row r="355" spans="1:38" s="81" customFormat="1" ht="32.25" customHeight="1" x14ac:dyDescent="0.3">
      <c r="A355" s="5">
        <v>348</v>
      </c>
      <c r="B355" s="84" t="s">
        <v>196</v>
      </c>
      <c r="C355" s="274"/>
      <c r="D355" s="240" t="s">
        <v>1365</v>
      </c>
      <c r="E355" s="239">
        <v>14</v>
      </c>
      <c r="F355" s="239">
        <v>2</v>
      </c>
      <c r="G355" s="277" t="s">
        <v>245</v>
      </c>
      <c r="H355" s="84" t="s">
        <v>1040</v>
      </c>
      <c r="I355" s="239" t="s">
        <v>886</v>
      </c>
      <c r="J355" s="239" t="s">
        <v>216</v>
      </c>
      <c r="K355" s="118" t="s">
        <v>912</v>
      </c>
      <c r="L355" s="239"/>
      <c r="M355" s="265">
        <v>1970</v>
      </c>
      <c r="N355" s="239" t="s">
        <v>889</v>
      </c>
      <c r="O355" s="265">
        <v>9</v>
      </c>
      <c r="P355" s="239">
        <v>0</v>
      </c>
      <c r="Q355" s="265">
        <v>6</v>
      </c>
      <c r="R355" s="239">
        <v>216</v>
      </c>
      <c r="S355" s="266">
        <f t="shared" si="10"/>
        <v>11671.13</v>
      </c>
      <c r="T355" s="267">
        <v>11671.13</v>
      </c>
      <c r="U355" s="267">
        <v>11624.06</v>
      </c>
      <c r="V355" s="267">
        <v>0</v>
      </c>
      <c r="W355" s="268" t="s">
        <v>218</v>
      </c>
      <c r="X355" s="268" t="s">
        <v>218</v>
      </c>
      <c r="Y355" s="269" t="s">
        <v>218</v>
      </c>
      <c r="Z355" s="270" t="s">
        <v>218</v>
      </c>
      <c r="AA355" s="268" t="s">
        <v>218</v>
      </c>
      <c r="AB355" s="268" t="s">
        <v>218</v>
      </c>
      <c r="AC355" s="269" t="s">
        <v>219</v>
      </c>
      <c r="AD355" s="269" t="s">
        <v>218</v>
      </c>
      <c r="AE355" s="269" t="s">
        <v>219</v>
      </c>
      <c r="AF355" s="268">
        <v>6</v>
      </c>
      <c r="AG355" s="239">
        <v>1</v>
      </c>
      <c r="AH355" s="239"/>
      <c r="AI355" s="239">
        <v>1</v>
      </c>
      <c r="AJ355" s="239">
        <v>1</v>
      </c>
    </row>
    <row r="356" spans="1:38" s="81" customFormat="1" ht="32.25" customHeight="1" x14ac:dyDescent="0.3">
      <c r="A356" s="80">
        <v>349</v>
      </c>
      <c r="B356" s="84" t="s">
        <v>196</v>
      </c>
      <c r="C356" s="275"/>
      <c r="D356" s="240" t="s">
        <v>374</v>
      </c>
      <c r="E356" s="239">
        <v>15</v>
      </c>
      <c r="F356" s="239">
        <v>1</v>
      </c>
      <c r="G356" s="277" t="s">
        <v>245</v>
      </c>
      <c r="H356" s="84" t="s">
        <v>1041</v>
      </c>
      <c r="I356" s="239" t="s">
        <v>886</v>
      </c>
      <c r="J356" s="239" t="s">
        <v>318</v>
      </c>
      <c r="K356" s="118" t="s">
        <v>368</v>
      </c>
      <c r="L356" s="239"/>
      <c r="M356" s="265">
        <v>1967</v>
      </c>
      <c r="N356" s="239" t="s">
        <v>893</v>
      </c>
      <c r="O356" s="265">
        <v>9</v>
      </c>
      <c r="P356" s="239">
        <v>0</v>
      </c>
      <c r="Q356" s="265">
        <v>1</v>
      </c>
      <c r="R356" s="239">
        <v>45</v>
      </c>
      <c r="S356" s="266">
        <f t="shared" si="10"/>
        <v>2094.5</v>
      </c>
      <c r="T356" s="267">
        <v>2094.5</v>
      </c>
      <c r="U356" s="267">
        <v>1982.6</v>
      </c>
      <c r="V356" s="267">
        <v>51.5</v>
      </c>
      <c r="W356" s="268" t="s">
        <v>218</v>
      </c>
      <c r="X356" s="268" t="s">
        <v>218</v>
      </c>
      <c r="Y356" s="269" t="s">
        <v>218</v>
      </c>
      <c r="Z356" s="270" t="s">
        <v>218</v>
      </c>
      <c r="AA356" s="268" t="s">
        <v>218</v>
      </c>
      <c r="AB356" s="268" t="s">
        <v>218</v>
      </c>
      <c r="AC356" s="269" t="s">
        <v>219</v>
      </c>
      <c r="AD356" s="269" t="s">
        <v>218</v>
      </c>
      <c r="AE356" s="269" t="s">
        <v>219</v>
      </c>
      <c r="AF356" s="268">
        <v>1</v>
      </c>
      <c r="AG356" s="239">
        <v>2</v>
      </c>
      <c r="AH356" s="239"/>
      <c r="AI356" s="239">
        <v>1</v>
      </c>
      <c r="AJ356" s="239">
        <v>1</v>
      </c>
    </row>
    <row r="357" spans="1:38" s="81" customFormat="1" ht="32.25" customHeight="1" x14ac:dyDescent="0.3">
      <c r="A357" s="5">
        <v>350</v>
      </c>
      <c r="B357" s="84" t="s">
        <v>196</v>
      </c>
      <c r="C357" s="274"/>
      <c r="D357" s="240" t="s">
        <v>1366</v>
      </c>
      <c r="E357" s="239">
        <v>15</v>
      </c>
      <c r="F357" s="239">
        <v>2</v>
      </c>
      <c r="G357" s="277" t="s">
        <v>245</v>
      </c>
      <c r="H357" s="84" t="s">
        <v>1042</v>
      </c>
      <c r="I357" s="239" t="s">
        <v>886</v>
      </c>
      <c r="J357" s="239"/>
      <c r="K357" s="118" t="s">
        <v>895</v>
      </c>
      <c r="L357" s="239"/>
      <c r="M357" s="239">
        <v>1966</v>
      </c>
      <c r="N357" s="239" t="s">
        <v>889</v>
      </c>
      <c r="O357" s="239">
        <v>5</v>
      </c>
      <c r="P357" s="239">
        <v>0</v>
      </c>
      <c r="Q357" s="239">
        <v>6</v>
      </c>
      <c r="R357" s="239">
        <v>118</v>
      </c>
      <c r="S357" s="266">
        <f t="shared" si="10"/>
        <v>5401.69</v>
      </c>
      <c r="T357" s="267">
        <v>5401.69</v>
      </c>
      <c r="U357" s="267">
        <v>5401.69</v>
      </c>
      <c r="V357" s="267">
        <v>0</v>
      </c>
      <c r="W357" s="268" t="s">
        <v>218</v>
      </c>
      <c r="X357" s="268" t="s">
        <v>218</v>
      </c>
      <c r="Y357" s="269" t="s">
        <v>218</v>
      </c>
      <c r="Z357" s="270" t="s">
        <v>218</v>
      </c>
      <c r="AA357" s="268" t="s">
        <v>218</v>
      </c>
      <c r="AB357" s="268" t="s">
        <v>218</v>
      </c>
      <c r="AC357" s="269" t="s">
        <v>219</v>
      </c>
      <c r="AD357" s="269" t="s">
        <v>218</v>
      </c>
      <c r="AE357" s="269" t="s">
        <v>219</v>
      </c>
      <c r="AF357" s="268">
        <v>0</v>
      </c>
      <c r="AG357" s="239">
        <v>1</v>
      </c>
      <c r="AH357" s="239"/>
      <c r="AI357" s="239">
        <v>1</v>
      </c>
      <c r="AJ357" s="239">
        <v>1</v>
      </c>
    </row>
    <row r="358" spans="1:38" s="81" customFormat="1" ht="32.25" customHeight="1" x14ac:dyDescent="0.3">
      <c r="A358" s="80">
        <v>351</v>
      </c>
      <c r="B358" s="84" t="s">
        <v>196</v>
      </c>
      <c r="C358" s="275"/>
      <c r="D358" s="240" t="s">
        <v>1365</v>
      </c>
      <c r="E358" s="239">
        <v>15</v>
      </c>
      <c r="F358" s="239">
        <v>3</v>
      </c>
      <c r="G358" s="277" t="s">
        <v>245</v>
      </c>
      <c r="H358" s="84" t="s">
        <v>1043</v>
      </c>
      <c r="I358" s="239" t="s">
        <v>886</v>
      </c>
      <c r="J358" s="239"/>
      <c r="K358" s="118" t="s">
        <v>895</v>
      </c>
      <c r="L358" s="239"/>
      <c r="M358" s="239">
        <v>1966</v>
      </c>
      <c r="N358" s="239" t="s">
        <v>889</v>
      </c>
      <c r="O358" s="239">
        <v>5</v>
      </c>
      <c r="P358" s="239">
        <v>0</v>
      </c>
      <c r="Q358" s="239">
        <v>6</v>
      </c>
      <c r="R358" s="239">
        <v>118</v>
      </c>
      <c r="S358" s="266">
        <f t="shared" si="10"/>
        <v>5398.89</v>
      </c>
      <c r="T358" s="267">
        <v>5398.89</v>
      </c>
      <c r="U358" s="267">
        <v>5398.89</v>
      </c>
      <c r="V358" s="267">
        <v>0</v>
      </c>
      <c r="W358" s="268" t="s">
        <v>218</v>
      </c>
      <c r="X358" s="268" t="s">
        <v>218</v>
      </c>
      <c r="Y358" s="269" t="s">
        <v>218</v>
      </c>
      <c r="Z358" s="270" t="s">
        <v>218</v>
      </c>
      <c r="AA358" s="268" t="s">
        <v>218</v>
      </c>
      <c r="AB358" s="268" t="s">
        <v>218</v>
      </c>
      <c r="AC358" s="269" t="s">
        <v>219</v>
      </c>
      <c r="AD358" s="269" t="s">
        <v>218</v>
      </c>
      <c r="AE358" s="269" t="s">
        <v>219</v>
      </c>
      <c r="AF358" s="268">
        <v>0</v>
      </c>
      <c r="AG358" s="239">
        <v>0</v>
      </c>
      <c r="AH358" s="239"/>
      <c r="AI358" s="239">
        <v>1</v>
      </c>
      <c r="AJ358" s="239">
        <v>1</v>
      </c>
    </row>
    <row r="359" spans="1:38" s="81" customFormat="1" ht="32.25" customHeight="1" x14ac:dyDescent="0.3">
      <c r="A359" s="5">
        <v>352</v>
      </c>
      <c r="B359" s="84" t="s">
        <v>196</v>
      </c>
      <c r="C359" s="274"/>
      <c r="D359" s="240" t="s">
        <v>1365</v>
      </c>
      <c r="E359" s="239">
        <v>17</v>
      </c>
      <c r="F359" s="239">
        <v>1</v>
      </c>
      <c r="G359" s="277" t="s">
        <v>245</v>
      </c>
      <c r="H359" s="84" t="s">
        <v>1044</v>
      </c>
      <c r="I359" s="239" t="s">
        <v>247</v>
      </c>
      <c r="J359" s="239"/>
      <c r="K359" s="118" t="s">
        <v>311</v>
      </c>
      <c r="L359" s="239"/>
      <c r="M359" s="239">
        <v>1966</v>
      </c>
      <c r="N359" s="239" t="s">
        <v>889</v>
      </c>
      <c r="O359" s="239">
        <v>5</v>
      </c>
      <c r="P359" s="239">
        <v>0</v>
      </c>
      <c r="Q359" s="239">
        <v>9</v>
      </c>
      <c r="R359" s="239">
        <v>132</v>
      </c>
      <c r="S359" s="266">
        <f t="shared" si="10"/>
        <v>6064.01</v>
      </c>
      <c r="T359" s="267">
        <v>6064.01</v>
      </c>
      <c r="U359" s="267">
        <v>5875.6500000000005</v>
      </c>
      <c r="V359" s="267">
        <v>133.9</v>
      </c>
      <c r="W359" s="268" t="s">
        <v>218</v>
      </c>
      <c r="X359" s="268" t="s">
        <v>218</v>
      </c>
      <c r="Y359" s="269" t="s">
        <v>218</v>
      </c>
      <c r="Z359" s="270" t="s">
        <v>218</v>
      </c>
      <c r="AA359" s="268" t="s">
        <v>218</v>
      </c>
      <c r="AB359" s="268" t="s">
        <v>218</v>
      </c>
      <c r="AC359" s="269" t="s">
        <v>219</v>
      </c>
      <c r="AD359" s="269" t="s">
        <v>218</v>
      </c>
      <c r="AE359" s="269" t="s">
        <v>219</v>
      </c>
      <c r="AF359" s="268">
        <v>0</v>
      </c>
      <c r="AG359" s="239">
        <v>1</v>
      </c>
      <c r="AH359" s="239"/>
      <c r="AI359" s="239">
        <v>1</v>
      </c>
      <c r="AJ359" s="239">
        <v>1</v>
      </c>
    </row>
    <row r="360" spans="1:38" s="81" customFormat="1" ht="32.25" customHeight="1" x14ac:dyDescent="0.3">
      <c r="A360" s="80">
        <v>353</v>
      </c>
      <c r="B360" s="84" t="s">
        <v>196</v>
      </c>
      <c r="C360" s="275"/>
      <c r="D360" s="240" t="s">
        <v>1366</v>
      </c>
      <c r="E360" s="239">
        <v>17</v>
      </c>
      <c r="F360" s="239">
        <v>4</v>
      </c>
      <c r="G360" s="277" t="s">
        <v>245</v>
      </c>
      <c r="H360" s="84" t="s">
        <v>1045</v>
      </c>
      <c r="I360" s="239" t="s">
        <v>247</v>
      </c>
      <c r="J360" s="239"/>
      <c r="K360" s="118" t="s">
        <v>895</v>
      </c>
      <c r="L360" s="239"/>
      <c r="M360" s="239">
        <v>1966</v>
      </c>
      <c r="N360" s="239" t="s">
        <v>889</v>
      </c>
      <c r="O360" s="239">
        <v>5</v>
      </c>
      <c r="P360" s="239">
        <v>0</v>
      </c>
      <c r="Q360" s="239">
        <v>6</v>
      </c>
      <c r="R360" s="239">
        <v>118</v>
      </c>
      <c r="S360" s="266">
        <f t="shared" si="10"/>
        <v>5394.24</v>
      </c>
      <c r="T360" s="267">
        <v>5394.24</v>
      </c>
      <c r="U360" s="267">
        <v>5394.24</v>
      </c>
      <c r="V360" s="267">
        <v>0</v>
      </c>
      <c r="W360" s="268" t="s">
        <v>218</v>
      </c>
      <c r="X360" s="268" t="s">
        <v>218</v>
      </c>
      <c r="Y360" s="269" t="s">
        <v>218</v>
      </c>
      <c r="Z360" s="270" t="s">
        <v>218</v>
      </c>
      <c r="AA360" s="268" t="s">
        <v>218</v>
      </c>
      <c r="AB360" s="268" t="s">
        <v>218</v>
      </c>
      <c r="AC360" s="269" t="s">
        <v>219</v>
      </c>
      <c r="AD360" s="269" t="s">
        <v>218</v>
      </c>
      <c r="AE360" s="269" t="s">
        <v>219</v>
      </c>
      <c r="AF360" s="268">
        <v>0</v>
      </c>
      <c r="AG360" s="239">
        <v>1</v>
      </c>
      <c r="AH360" s="239"/>
      <c r="AI360" s="239">
        <v>1</v>
      </c>
      <c r="AJ360" s="239">
        <v>1</v>
      </c>
    </row>
    <row r="361" spans="1:38" s="81" customFormat="1" ht="32.25" customHeight="1" x14ac:dyDescent="0.3">
      <c r="A361" s="5">
        <v>354</v>
      </c>
      <c r="B361" s="84" t="s">
        <v>196</v>
      </c>
      <c r="C361" s="274"/>
      <c r="D361" s="240" t="s">
        <v>1365</v>
      </c>
      <c r="E361" s="239">
        <v>19</v>
      </c>
      <c r="F361" s="239">
        <v>2</v>
      </c>
      <c r="G361" s="277" t="s">
        <v>245</v>
      </c>
      <c r="H361" s="84" t="s">
        <v>1046</v>
      </c>
      <c r="I361" s="239" t="s">
        <v>886</v>
      </c>
      <c r="J361" s="239"/>
      <c r="K361" s="118" t="s">
        <v>895</v>
      </c>
      <c r="L361" s="239"/>
      <c r="M361" s="239">
        <v>1966</v>
      </c>
      <c r="N361" s="239" t="s">
        <v>889</v>
      </c>
      <c r="O361" s="239">
        <v>5</v>
      </c>
      <c r="P361" s="239">
        <v>0</v>
      </c>
      <c r="Q361" s="239">
        <v>6</v>
      </c>
      <c r="R361" s="239">
        <v>118</v>
      </c>
      <c r="S361" s="266">
        <f t="shared" si="10"/>
        <v>5499.82</v>
      </c>
      <c r="T361" s="267">
        <v>5499.82</v>
      </c>
      <c r="U361" s="267">
        <v>5410.94</v>
      </c>
      <c r="V361" s="267">
        <v>0</v>
      </c>
      <c r="W361" s="268" t="s">
        <v>218</v>
      </c>
      <c r="X361" s="268" t="s">
        <v>218</v>
      </c>
      <c r="Y361" s="269" t="s">
        <v>218</v>
      </c>
      <c r="Z361" s="270" t="s">
        <v>218</v>
      </c>
      <c r="AA361" s="268" t="s">
        <v>218</v>
      </c>
      <c r="AB361" s="268" t="s">
        <v>218</v>
      </c>
      <c r="AC361" s="269" t="s">
        <v>219</v>
      </c>
      <c r="AD361" s="269" t="s">
        <v>218</v>
      </c>
      <c r="AE361" s="269" t="s">
        <v>219</v>
      </c>
      <c r="AF361" s="268">
        <v>0</v>
      </c>
      <c r="AG361" s="239">
        <v>1</v>
      </c>
      <c r="AH361" s="239"/>
      <c r="AI361" s="239">
        <v>1</v>
      </c>
      <c r="AJ361" s="239">
        <v>1</v>
      </c>
    </row>
    <row r="362" spans="1:38" s="81" customFormat="1" ht="32.25" customHeight="1" x14ac:dyDescent="0.3">
      <c r="A362" s="80">
        <v>355</v>
      </c>
      <c r="B362" s="84" t="s">
        <v>196</v>
      </c>
      <c r="C362" s="275"/>
      <c r="D362" s="240" t="s">
        <v>1365</v>
      </c>
      <c r="E362" s="239">
        <v>19</v>
      </c>
      <c r="F362" s="239">
        <v>3</v>
      </c>
      <c r="G362" s="277" t="s">
        <v>245</v>
      </c>
      <c r="H362" s="84" t="s">
        <v>1047</v>
      </c>
      <c r="I362" s="239" t="s">
        <v>247</v>
      </c>
      <c r="J362" s="239"/>
      <c r="K362" s="118" t="s">
        <v>895</v>
      </c>
      <c r="L362" s="239"/>
      <c r="M362" s="239">
        <v>1966</v>
      </c>
      <c r="N362" s="239" t="s">
        <v>889</v>
      </c>
      <c r="O362" s="239">
        <v>5</v>
      </c>
      <c r="P362" s="239">
        <v>0</v>
      </c>
      <c r="Q362" s="239">
        <v>6</v>
      </c>
      <c r="R362" s="239">
        <v>118</v>
      </c>
      <c r="S362" s="266">
        <f t="shared" si="10"/>
        <v>5524.2</v>
      </c>
      <c r="T362" s="267">
        <v>5524.2</v>
      </c>
      <c r="U362" s="267">
        <v>5434.7</v>
      </c>
      <c r="V362" s="267">
        <v>0</v>
      </c>
      <c r="W362" s="268" t="s">
        <v>218</v>
      </c>
      <c r="X362" s="268" t="s">
        <v>218</v>
      </c>
      <c r="Y362" s="269" t="s">
        <v>218</v>
      </c>
      <c r="Z362" s="270" t="s">
        <v>218</v>
      </c>
      <c r="AA362" s="268" t="s">
        <v>218</v>
      </c>
      <c r="AB362" s="268" t="s">
        <v>218</v>
      </c>
      <c r="AC362" s="269" t="s">
        <v>219</v>
      </c>
      <c r="AD362" s="269" t="s">
        <v>218</v>
      </c>
      <c r="AE362" s="269" t="s">
        <v>219</v>
      </c>
      <c r="AF362" s="268">
        <v>0</v>
      </c>
      <c r="AG362" s="239">
        <v>1</v>
      </c>
      <c r="AH362" s="239"/>
      <c r="AI362" s="239">
        <v>1</v>
      </c>
      <c r="AJ362" s="239">
        <v>1</v>
      </c>
    </row>
    <row r="363" spans="1:38" s="81" customFormat="1" ht="32.25" customHeight="1" x14ac:dyDescent="0.3">
      <c r="A363" s="5">
        <v>356</v>
      </c>
      <c r="B363" s="84" t="s">
        <v>196</v>
      </c>
      <c r="C363" s="274"/>
      <c r="D363" s="240" t="s">
        <v>1366</v>
      </c>
      <c r="E363" s="239">
        <v>21</v>
      </c>
      <c r="F363" s="239"/>
      <c r="G363" s="277" t="s">
        <v>245</v>
      </c>
      <c r="H363" s="84" t="s">
        <v>1048</v>
      </c>
      <c r="I363" s="239" t="s">
        <v>886</v>
      </c>
      <c r="J363" s="239" t="s">
        <v>318</v>
      </c>
      <c r="K363" s="118" t="s">
        <v>914</v>
      </c>
      <c r="L363" s="239"/>
      <c r="M363" s="265">
        <v>1967</v>
      </c>
      <c r="N363" s="239" t="s">
        <v>893</v>
      </c>
      <c r="O363" s="239">
        <v>9</v>
      </c>
      <c r="P363" s="239">
        <v>0</v>
      </c>
      <c r="Q363" s="239">
        <v>1</v>
      </c>
      <c r="R363" s="239">
        <v>45</v>
      </c>
      <c r="S363" s="266">
        <f t="shared" si="10"/>
        <v>2064.0100000000002</v>
      </c>
      <c r="T363" s="267">
        <v>2064.0100000000002</v>
      </c>
      <c r="U363" s="267">
        <v>1971.61</v>
      </c>
      <c r="V363" s="267">
        <v>44.2</v>
      </c>
      <c r="W363" s="268" t="s">
        <v>218</v>
      </c>
      <c r="X363" s="268" t="s">
        <v>218</v>
      </c>
      <c r="Y363" s="269" t="s">
        <v>218</v>
      </c>
      <c r="Z363" s="270" t="s">
        <v>218</v>
      </c>
      <c r="AA363" s="268" t="s">
        <v>218</v>
      </c>
      <c r="AB363" s="268" t="s">
        <v>218</v>
      </c>
      <c r="AC363" s="269" t="s">
        <v>219</v>
      </c>
      <c r="AD363" s="269" t="s">
        <v>218</v>
      </c>
      <c r="AE363" s="269" t="s">
        <v>219</v>
      </c>
      <c r="AF363" s="268">
        <v>1</v>
      </c>
      <c r="AG363" s="239">
        <v>2</v>
      </c>
      <c r="AH363" s="239"/>
      <c r="AI363" s="239">
        <v>1</v>
      </c>
      <c r="AJ363" s="239">
        <v>1</v>
      </c>
    </row>
    <row r="364" spans="1:38" s="81" customFormat="1" ht="32.25" customHeight="1" x14ac:dyDescent="0.3">
      <c r="A364" s="80">
        <v>357</v>
      </c>
      <c r="B364" s="84" t="s">
        <v>196</v>
      </c>
      <c r="C364" s="275"/>
      <c r="D364" s="240" t="s">
        <v>1365</v>
      </c>
      <c r="E364" s="239">
        <v>23</v>
      </c>
      <c r="F364" s="239">
        <v>1</v>
      </c>
      <c r="G364" s="277" t="s">
        <v>245</v>
      </c>
      <c r="H364" s="84" t="s">
        <v>1049</v>
      </c>
      <c r="I364" s="239" t="s">
        <v>247</v>
      </c>
      <c r="J364" s="239"/>
      <c r="K364" s="118" t="s">
        <v>311</v>
      </c>
      <c r="L364" s="239"/>
      <c r="M364" s="239">
        <v>1966</v>
      </c>
      <c r="N364" s="239" t="s">
        <v>889</v>
      </c>
      <c r="O364" s="239">
        <v>5</v>
      </c>
      <c r="P364" s="239">
        <v>0</v>
      </c>
      <c r="Q364" s="239">
        <v>9</v>
      </c>
      <c r="R364" s="239">
        <v>134</v>
      </c>
      <c r="S364" s="266">
        <f t="shared" si="10"/>
        <v>5464.99</v>
      </c>
      <c r="T364" s="267">
        <v>5464.99</v>
      </c>
      <c r="U364" s="267">
        <v>5419.07</v>
      </c>
      <c r="V364" s="267">
        <v>0</v>
      </c>
      <c r="W364" s="268" t="s">
        <v>218</v>
      </c>
      <c r="X364" s="268" t="s">
        <v>218</v>
      </c>
      <c r="Y364" s="269" t="s">
        <v>218</v>
      </c>
      <c r="Z364" s="270" t="s">
        <v>218</v>
      </c>
      <c r="AA364" s="268" t="s">
        <v>218</v>
      </c>
      <c r="AB364" s="268" t="s">
        <v>218</v>
      </c>
      <c r="AC364" s="269" t="s">
        <v>219</v>
      </c>
      <c r="AD364" s="269" t="s">
        <v>218</v>
      </c>
      <c r="AE364" s="269" t="s">
        <v>219</v>
      </c>
      <c r="AF364" s="268">
        <v>0</v>
      </c>
      <c r="AG364" s="239">
        <v>2</v>
      </c>
      <c r="AH364" s="239"/>
      <c r="AI364" s="239">
        <v>1</v>
      </c>
      <c r="AJ364" s="239">
        <v>1</v>
      </c>
    </row>
    <row r="365" spans="1:38" s="81" customFormat="1" ht="32.25" customHeight="1" x14ac:dyDescent="0.3">
      <c r="A365" s="5">
        <v>358</v>
      </c>
      <c r="B365" s="84" t="s">
        <v>196</v>
      </c>
      <c r="C365" s="274"/>
      <c r="D365" s="240" t="s">
        <v>1365</v>
      </c>
      <c r="E365" s="239">
        <v>23</v>
      </c>
      <c r="F365" s="239">
        <v>4</v>
      </c>
      <c r="G365" s="277" t="s">
        <v>245</v>
      </c>
      <c r="H365" s="84" t="s">
        <v>1050</v>
      </c>
      <c r="I365" s="239" t="s">
        <v>247</v>
      </c>
      <c r="J365" s="239"/>
      <c r="K365" s="118" t="s">
        <v>315</v>
      </c>
      <c r="L365" s="239"/>
      <c r="M365" s="239">
        <v>1966</v>
      </c>
      <c r="N365" s="239" t="s">
        <v>889</v>
      </c>
      <c r="O365" s="239">
        <v>5</v>
      </c>
      <c r="P365" s="239">
        <v>0</v>
      </c>
      <c r="Q365" s="239">
        <v>6</v>
      </c>
      <c r="R365" s="239">
        <v>118</v>
      </c>
      <c r="S365" s="266">
        <f t="shared" si="10"/>
        <v>6072.78</v>
      </c>
      <c r="T365" s="267">
        <v>6072.78</v>
      </c>
      <c r="U365" s="267">
        <v>6017.87</v>
      </c>
      <c r="V365" s="267">
        <v>0</v>
      </c>
      <c r="W365" s="268" t="s">
        <v>218</v>
      </c>
      <c r="X365" s="268" t="s">
        <v>218</v>
      </c>
      <c r="Y365" s="269" t="s">
        <v>218</v>
      </c>
      <c r="Z365" s="270" t="s">
        <v>218</v>
      </c>
      <c r="AA365" s="268" t="s">
        <v>218</v>
      </c>
      <c r="AB365" s="268" t="s">
        <v>218</v>
      </c>
      <c r="AC365" s="269" t="s">
        <v>219</v>
      </c>
      <c r="AD365" s="269" t="s">
        <v>218</v>
      </c>
      <c r="AE365" s="269" t="s">
        <v>219</v>
      </c>
      <c r="AF365" s="268">
        <v>0</v>
      </c>
      <c r="AG365" s="239">
        <v>1</v>
      </c>
      <c r="AH365" s="239"/>
      <c r="AI365" s="239">
        <v>1</v>
      </c>
      <c r="AJ365" s="239">
        <v>1</v>
      </c>
    </row>
    <row r="366" spans="1:38" s="81" customFormat="1" ht="32.25" customHeight="1" x14ac:dyDescent="0.3">
      <c r="A366" s="80">
        <v>359</v>
      </c>
      <c r="B366" s="84" t="s">
        <v>196</v>
      </c>
      <c r="C366" s="275"/>
      <c r="D366" s="240" t="s">
        <v>1365</v>
      </c>
      <c r="E366" s="239">
        <v>27</v>
      </c>
      <c r="F366" s="239">
        <v>2</v>
      </c>
      <c r="G366" s="277" t="s">
        <v>245</v>
      </c>
      <c r="H366" s="84" t="s">
        <v>1051</v>
      </c>
      <c r="I366" s="239" t="s">
        <v>247</v>
      </c>
      <c r="J366" s="239"/>
      <c r="K366" s="118" t="s">
        <v>315</v>
      </c>
      <c r="L366" s="239"/>
      <c r="M366" s="239">
        <v>1964</v>
      </c>
      <c r="N366" s="239" t="s">
        <v>889</v>
      </c>
      <c r="O366" s="239">
        <v>5</v>
      </c>
      <c r="P366" s="239">
        <v>0</v>
      </c>
      <c r="Q366" s="239">
        <v>6</v>
      </c>
      <c r="R366" s="239">
        <v>90</v>
      </c>
      <c r="S366" s="266">
        <f t="shared" si="10"/>
        <v>4055.1</v>
      </c>
      <c r="T366" s="267">
        <v>4055.1</v>
      </c>
      <c r="U366" s="267">
        <v>4000.6</v>
      </c>
      <c r="V366" s="267">
        <v>0</v>
      </c>
      <c r="W366" s="268" t="s">
        <v>218</v>
      </c>
      <c r="X366" s="268" t="s">
        <v>218</v>
      </c>
      <c r="Y366" s="269" t="s">
        <v>218</v>
      </c>
      <c r="Z366" s="270" t="s">
        <v>218</v>
      </c>
      <c r="AA366" s="268" t="s">
        <v>218</v>
      </c>
      <c r="AB366" s="268" t="s">
        <v>218</v>
      </c>
      <c r="AC366" s="269" t="s">
        <v>219</v>
      </c>
      <c r="AD366" s="269" t="s">
        <v>218</v>
      </c>
      <c r="AE366" s="269" t="s">
        <v>219</v>
      </c>
      <c r="AF366" s="268">
        <v>0</v>
      </c>
      <c r="AG366" s="239">
        <v>1</v>
      </c>
      <c r="AH366" s="239"/>
      <c r="AI366" s="239">
        <v>1</v>
      </c>
      <c r="AJ366" s="239">
        <v>1</v>
      </c>
    </row>
    <row r="367" spans="1:38" s="81" customFormat="1" ht="32.25" customHeight="1" x14ac:dyDescent="0.3">
      <c r="A367" s="5">
        <v>360</v>
      </c>
      <c r="B367" s="84" t="s">
        <v>196</v>
      </c>
      <c r="C367" s="274"/>
      <c r="D367" s="240" t="s">
        <v>1365</v>
      </c>
      <c r="E367" s="239">
        <v>27</v>
      </c>
      <c r="F367" s="239">
        <v>3</v>
      </c>
      <c r="G367" s="277" t="s">
        <v>245</v>
      </c>
      <c r="H367" s="84" t="s">
        <v>1052</v>
      </c>
      <c r="I367" s="239" t="s">
        <v>247</v>
      </c>
      <c r="J367" s="239"/>
      <c r="K367" s="118" t="s">
        <v>315</v>
      </c>
      <c r="L367" s="239"/>
      <c r="M367" s="239">
        <v>1964</v>
      </c>
      <c r="N367" s="239" t="s">
        <v>889</v>
      </c>
      <c r="O367" s="239">
        <v>5</v>
      </c>
      <c r="P367" s="239">
        <v>0</v>
      </c>
      <c r="Q367" s="239">
        <v>6</v>
      </c>
      <c r="R367" s="239">
        <v>90</v>
      </c>
      <c r="S367" s="266">
        <f t="shared" si="10"/>
        <v>4031.81</v>
      </c>
      <c r="T367" s="267">
        <v>4031.81</v>
      </c>
      <c r="U367" s="267">
        <v>4017.24</v>
      </c>
      <c r="V367" s="267">
        <v>0</v>
      </c>
      <c r="W367" s="268" t="s">
        <v>218</v>
      </c>
      <c r="X367" s="268" t="s">
        <v>218</v>
      </c>
      <c r="Y367" s="269" t="s">
        <v>218</v>
      </c>
      <c r="Z367" s="270" t="s">
        <v>218</v>
      </c>
      <c r="AA367" s="268" t="s">
        <v>218</v>
      </c>
      <c r="AB367" s="268" t="s">
        <v>218</v>
      </c>
      <c r="AC367" s="269" t="s">
        <v>219</v>
      </c>
      <c r="AD367" s="269" t="s">
        <v>218</v>
      </c>
      <c r="AE367" s="269" t="s">
        <v>219</v>
      </c>
      <c r="AF367" s="268">
        <v>0</v>
      </c>
      <c r="AG367" s="239">
        <v>1</v>
      </c>
      <c r="AH367" s="239"/>
      <c r="AI367" s="239">
        <v>1</v>
      </c>
      <c r="AJ367" s="239">
        <v>1</v>
      </c>
    </row>
    <row r="368" spans="1:38" s="81" customFormat="1" ht="32.25" customHeight="1" x14ac:dyDescent="0.3">
      <c r="A368" s="80">
        <v>361</v>
      </c>
      <c r="B368" s="84" t="s">
        <v>196</v>
      </c>
      <c r="C368" s="275"/>
      <c r="D368" s="240" t="s">
        <v>1365</v>
      </c>
      <c r="E368" s="239">
        <v>29</v>
      </c>
      <c r="F368" s="239">
        <v>1</v>
      </c>
      <c r="G368" s="277" t="s">
        <v>245</v>
      </c>
      <c r="H368" s="84" t="s">
        <v>1053</v>
      </c>
      <c r="I368" s="239" t="s">
        <v>247</v>
      </c>
      <c r="J368" s="239"/>
      <c r="K368" s="118" t="s">
        <v>311</v>
      </c>
      <c r="L368" s="239"/>
      <c r="M368" s="239">
        <v>1964</v>
      </c>
      <c r="N368" s="239" t="s">
        <v>889</v>
      </c>
      <c r="O368" s="239">
        <v>5</v>
      </c>
      <c r="P368" s="239">
        <v>0</v>
      </c>
      <c r="Q368" s="239">
        <v>9</v>
      </c>
      <c r="R368" s="239">
        <v>133</v>
      </c>
      <c r="S368" s="266">
        <f t="shared" si="10"/>
        <v>6071.9</v>
      </c>
      <c r="T368" s="267">
        <v>6071.9</v>
      </c>
      <c r="U368" s="267">
        <v>6022.9</v>
      </c>
      <c r="V368" s="267">
        <v>0</v>
      </c>
      <c r="W368" s="268" t="s">
        <v>218</v>
      </c>
      <c r="X368" s="268" t="s">
        <v>218</v>
      </c>
      <c r="Y368" s="269" t="s">
        <v>218</v>
      </c>
      <c r="Z368" s="270" t="s">
        <v>218</v>
      </c>
      <c r="AA368" s="268" t="s">
        <v>218</v>
      </c>
      <c r="AB368" s="268" t="s">
        <v>218</v>
      </c>
      <c r="AC368" s="269" t="s">
        <v>219</v>
      </c>
      <c r="AD368" s="269" t="s">
        <v>218</v>
      </c>
      <c r="AE368" s="269" t="s">
        <v>219</v>
      </c>
      <c r="AF368" s="268">
        <v>0</v>
      </c>
      <c r="AG368" s="239">
        <v>1</v>
      </c>
      <c r="AH368" s="239"/>
      <c r="AI368" s="239">
        <v>1</v>
      </c>
      <c r="AJ368" s="239">
        <v>1</v>
      </c>
    </row>
    <row r="369" spans="1:36" s="81" customFormat="1" ht="32.25" customHeight="1" x14ac:dyDescent="0.3">
      <c r="A369" s="5">
        <v>362</v>
      </c>
      <c r="B369" s="84" t="s">
        <v>196</v>
      </c>
      <c r="C369" s="274"/>
      <c r="D369" s="240" t="s">
        <v>1365</v>
      </c>
      <c r="E369" s="239">
        <v>29</v>
      </c>
      <c r="F369" s="239">
        <v>3</v>
      </c>
      <c r="G369" s="277" t="s">
        <v>245</v>
      </c>
      <c r="H369" s="84" t="s">
        <v>1054</v>
      </c>
      <c r="I369" s="239" t="s">
        <v>886</v>
      </c>
      <c r="J369" s="239" t="s">
        <v>887</v>
      </c>
      <c r="K369" s="118" t="s">
        <v>315</v>
      </c>
      <c r="L369" s="239"/>
      <c r="M369" s="239">
        <v>1965</v>
      </c>
      <c r="N369" s="239" t="s">
        <v>889</v>
      </c>
      <c r="O369" s="239">
        <v>9</v>
      </c>
      <c r="P369" s="239">
        <v>0</v>
      </c>
      <c r="Q369" s="239">
        <v>9</v>
      </c>
      <c r="R369" s="239">
        <v>134</v>
      </c>
      <c r="S369" s="266">
        <f t="shared" si="10"/>
        <v>6102.8</v>
      </c>
      <c r="T369" s="267">
        <v>6102.8</v>
      </c>
      <c r="U369" s="267">
        <v>6019.5</v>
      </c>
      <c r="V369" s="267">
        <v>0</v>
      </c>
      <c r="W369" s="268" t="s">
        <v>218</v>
      </c>
      <c r="X369" s="268" t="s">
        <v>218</v>
      </c>
      <c r="Y369" s="269" t="s">
        <v>218</v>
      </c>
      <c r="Z369" s="270" t="s">
        <v>218</v>
      </c>
      <c r="AA369" s="268" t="s">
        <v>218</v>
      </c>
      <c r="AB369" s="268" t="s">
        <v>218</v>
      </c>
      <c r="AC369" s="269" t="s">
        <v>219</v>
      </c>
      <c r="AD369" s="269" t="s">
        <v>218</v>
      </c>
      <c r="AE369" s="269" t="s">
        <v>219</v>
      </c>
      <c r="AF369" s="268">
        <v>0</v>
      </c>
      <c r="AG369" s="239">
        <v>1</v>
      </c>
      <c r="AH369" s="239"/>
      <c r="AI369" s="239">
        <v>1</v>
      </c>
      <c r="AJ369" s="239">
        <v>1</v>
      </c>
    </row>
    <row r="370" spans="1:36" s="81" customFormat="1" ht="32.25" customHeight="1" x14ac:dyDescent="0.3">
      <c r="A370" s="80">
        <v>363</v>
      </c>
      <c r="B370" s="84" t="s">
        <v>196</v>
      </c>
      <c r="C370" s="275"/>
      <c r="D370" s="240" t="s">
        <v>1365</v>
      </c>
      <c r="E370" s="239">
        <v>31</v>
      </c>
      <c r="F370" s="239">
        <v>1</v>
      </c>
      <c r="G370" s="277" t="s">
        <v>245</v>
      </c>
      <c r="H370" s="84" t="s">
        <v>1055</v>
      </c>
      <c r="I370" s="239" t="s">
        <v>886</v>
      </c>
      <c r="J370" s="239" t="s">
        <v>318</v>
      </c>
      <c r="K370" s="118" t="s">
        <v>369</v>
      </c>
      <c r="L370" s="239"/>
      <c r="M370" s="239">
        <v>1968</v>
      </c>
      <c r="N370" s="239" t="s">
        <v>893</v>
      </c>
      <c r="O370" s="239">
        <v>9</v>
      </c>
      <c r="P370" s="239">
        <v>0</v>
      </c>
      <c r="Q370" s="239">
        <v>4</v>
      </c>
      <c r="R370" s="239">
        <v>230</v>
      </c>
      <c r="S370" s="266">
        <f t="shared" si="10"/>
        <v>11160.5</v>
      </c>
      <c r="T370" s="267">
        <v>11160.5</v>
      </c>
      <c r="U370" s="267">
        <v>10976.2</v>
      </c>
      <c r="V370" s="267">
        <v>78.700000000000017</v>
      </c>
      <c r="W370" s="268" t="s">
        <v>218</v>
      </c>
      <c r="X370" s="268" t="s">
        <v>218</v>
      </c>
      <c r="Y370" s="269" t="s">
        <v>218</v>
      </c>
      <c r="Z370" s="270" t="s">
        <v>218</v>
      </c>
      <c r="AA370" s="268" t="s">
        <v>218</v>
      </c>
      <c r="AB370" s="268" t="s">
        <v>218</v>
      </c>
      <c r="AC370" s="269" t="s">
        <v>219</v>
      </c>
      <c r="AD370" s="269" t="s">
        <v>218</v>
      </c>
      <c r="AE370" s="269" t="s">
        <v>219</v>
      </c>
      <c r="AF370" s="268">
        <v>4</v>
      </c>
      <c r="AG370" s="239">
        <v>2</v>
      </c>
      <c r="AH370" s="239"/>
      <c r="AI370" s="239">
        <v>1</v>
      </c>
      <c r="AJ370" s="239">
        <v>1</v>
      </c>
    </row>
    <row r="371" spans="1:36" s="81" customFormat="1" ht="32.25" customHeight="1" x14ac:dyDescent="0.3">
      <c r="A371" s="5">
        <v>364</v>
      </c>
      <c r="B371" s="84" t="s">
        <v>196</v>
      </c>
      <c r="C371" s="274"/>
      <c r="D371" s="240" t="s">
        <v>1365</v>
      </c>
      <c r="E371" s="239">
        <v>35</v>
      </c>
      <c r="F371" s="239">
        <v>1</v>
      </c>
      <c r="G371" s="277" t="s">
        <v>245</v>
      </c>
      <c r="H371" s="84" t="s">
        <v>1056</v>
      </c>
      <c r="I371" s="239" t="s">
        <v>886</v>
      </c>
      <c r="J371" s="239" t="s">
        <v>318</v>
      </c>
      <c r="K371" s="118" t="s">
        <v>915</v>
      </c>
      <c r="L371" s="239"/>
      <c r="M371" s="239">
        <v>1966</v>
      </c>
      <c r="N371" s="239" t="s">
        <v>893</v>
      </c>
      <c r="O371" s="239">
        <v>9</v>
      </c>
      <c r="P371" s="239">
        <v>0</v>
      </c>
      <c r="Q371" s="239">
        <v>1</v>
      </c>
      <c r="R371" s="239">
        <v>45</v>
      </c>
      <c r="S371" s="266">
        <f t="shared" si="10"/>
        <v>2053.6</v>
      </c>
      <c r="T371" s="267">
        <v>2053.6</v>
      </c>
      <c r="U371" s="267">
        <v>1962.6</v>
      </c>
      <c r="V371" s="267">
        <v>0</v>
      </c>
      <c r="W371" s="268" t="s">
        <v>218</v>
      </c>
      <c r="X371" s="268" t="s">
        <v>218</v>
      </c>
      <c r="Y371" s="269" t="s">
        <v>218</v>
      </c>
      <c r="Z371" s="270" t="s">
        <v>218</v>
      </c>
      <c r="AA371" s="268" t="s">
        <v>218</v>
      </c>
      <c r="AB371" s="268" t="s">
        <v>218</v>
      </c>
      <c r="AC371" s="269" t="s">
        <v>219</v>
      </c>
      <c r="AD371" s="269" t="s">
        <v>218</v>
      </c>
      <c r="AE371" s="269" t="s">
        <v>219</v>
      </c>
      <c r="AF371" s="268">
        <v>1</v>
      </c>
      <c r="AG371" s="239">
        <v>2</v>
      </c>
      <c r="AH371" s="239"/>
      <c r="AI371" s="239">
        <v>1</v>
      </c>
      <c r="AJ371" s="239">
        <v>1</v>
      </c>
    </row>
    <row r="372" spans="1:36" s="81" customFormat="1" ht="32.25" customHeight="1" x14ac:dyDescent="0.3">
      <c r="A372" s="80">
        <v>365</v>
      </c>
      <c r="B372" s="84" t="s">
        <v>196</v>
      </c>
      <c r="C372" s="275"/>
      <c r="D372" s="240" t="s">
        <v>1365</v>
      </c>
      <c r="E372" s="239">
        <v>35</v>
      </c>
      <c r="F372" s="239">
        <v>2</v>
      </c>
      <c r="G372" s="277" t="s">
        <v>245</v>
      </c>
      <c r="H372" s="84" t="s">
        <v>1057</v>
      </c>
      <c r="I372" s="239" t="s">
        <v>886</v>
      </c>
      <c r="J372" s="239" t="s">
        <v>887</v>
      </c>
      <c r="K372" s="118" t="s">
        <v>315</v>
      </c>
      <c r="L372" s="239"/>
      <c r="M372" s="239">
        <v>1964</v>
      </c>
      <c r="N372" s="239" t="s">
        <v>889</v>
      </c>
      <c r="O372" s="239">
        <v>5</v>
      </c>
      <c r="P372" s="239">
        <v>0</v>
      </c>
      <c r="Q372" s="239">
        <v>6</v>
      </c>
      <c r="R372" s="239">
        <v>90</v>
      </c>
      <c r="S372" s="266">
        <f t="shared" si="10"/>
        <v>4070.4</v>
      </c>
      <c r="T372" s="267">
        <v>4070.4</v>
      </c>
      <c r="U372" s="267">
        <v>4024.2</v>
      </c>
      <c r="V372" s="267">
        <v>0</v>
      </c>
      <c r="W372" s="268" t="s">
        <v>218</v>
      </c>
      <c r="X372" s="268" t="s">
        <v>218</v>
      </c>
      <c r="Y372" s="269" t="s">
        <v>218</v>
      </c>
      <c r="Z372" s="270" t="s">
        <v>218</v>
      </c>
      <c r="AA372" s="268" t="s">
        <v>218</v>
      </c>
      <c r="AB372" s="268" t="s">
        <v>218</v>
      </c>
      <c r="AC372" s="269" t="s">
        <v>219</v>
      </c>
      <c r="AD372" s="269" t="s">
        <v>218</v>
      </c>
      <c r="AE372" s="269" t="s">
        <v>219</v>
      </c>
      <c r="AF372" s="268">
        <v>0</v>
      </c>
      <c r="AG372" s="239">
        <v>1</v>
      </c>
      <c r="AH372" s="239"/>
      <c r="AI372" s="239">
        <v>1</v>
      </c>
      <c r="AJ372" s="239">
        <v>1</v>
      </c>
    </row>
    <row r="373" spans="1:36" s="81" customFormat="1" ht="32.25" customHeight="1" x14ac:dyDescent="0.3">
      <c r="A373" s="5">
        <v>366</v>
      </c>
      <c r="B373" s="84" t="s">
        <v>196</v>
      </c>
      <c r="C373" s="274"/>
      <c r="D373" s="240" t="s">
        <v>1365</v>
      </c>
      <c r="E373" s="239">
        <v>37</v>
      </c>
      <c r="F373" s="239"/>
      <c r="G373" s="277" t="s">
        <v>245</v>
      </c>
      <c r="H373" s="84" t="s">
        <v>1058</v>
      </c>
      <c r="I373" s="239" t="s">
        <v>886</v>
      </c>
      <c r="J373" s="239" t="s">
        <v>887</v>
      </c>
      <c r="K373" s="118" t="s">
        <v>315</v>
      </c>
      <c r="L373" s="239"/>
      <c r="M373" s="239">
        <v>1964</v>
      </c>
      <c r="N373" s="239" t="s">
        <v>889</v>
      </c>
      <c r="O373" s="239">
        <v>5</v>
      </c>
      <c r="P373" s="239">
        <v>0</v>
      </c>
      <c r="Q373" s="239">
        <v>9</v>
      </c>
      <c r="R373" s="239">
        <v>134</v>
      </c>
      <c r="S373" s="266">
        <f t="shared" si="10"/>
        <v>6083.8</v>
      </c>
      <c r="T373" s="267">
        <v>6083.8</v>
      </c>
      <c r="U373" s="267">
        <v>5983.5</v>
      </c>
      <c r="V373" s="267">
        <v>44.599999999999994</v>
      </c>
      <c r="W373" s="268" t="s">
        <v>218</v>
      </c>
      <c r="X373" s="268" t="s">
        <v>218</v>
      </c>
      <c r="Y373" s="269" t="s">
        <v>218</v>
      </c>
      <c r="Z373" s="270" t="s">
        <v>218</v>
      </c>
      <c r="AA373" s="268" t="s">
        <v>218</v>
      </c>
      <c r="AB373" s="268" t="s">
        <v>218</v>
      </c>
      <c r="AC373" s="269" t="s">
        <v>219</v>
      </c>
      <c r="AD373" s="269" t="s">
        <v>218</v>
      </c>
      <c r="AE373" s="269" t="s">
        <v>219</v>
      </c>
      <c r="AF373" s="268">
        <v>0</v>
      </c>
      <c r="AG373" s="239">
        <v>0</v>
      </c>
      <c r="AH373" s="239"/>
      <c r="AI373" s="239">
        <v>1</v>
      </c>
      <c r="AJ373" s="239">
        <v>1</v>
      </c>
    </row>
    <row r="374" spans="1:36" s="81" customFormat="1" ht="32.25" customHeight="1" x14ac:dyDescent="0.3">
      <c r="A374" s="80">
        <v>367</v>
      </c>
      <c r="B374" s="84" t="s">
        <v>196</v>
      </c>
      <c r="C374" s="275"/>
      <c r="D374" s="240" t="s">
        <v>1365</v>
      </c>
      <c r="E374" s="239">
        <v>39</v>
      </c>
      <c r="F374" s="239"/>
      <c r="G374" s="277" t="s">
        <v>245</v>
      </c>
      <c r="H374" s="84" t="s">
        <v>1059</v>
      </c>
      <c r="I374" s="239" t="s">
        <v>886</v>
      </c>
      <c r="J374" s="239" t="s">
        <v>887</v>
      </c>
      <c r="K374" s="118" t="s">
        <v>311</v>
      </c>
      <c r="L374" s="239"/>
      <c r="M374" s="239">
        <v>1964</v>
      </c>
      <c r="N374" s="239" t="s">
        <v>889</v>
      </c>
      <c r="O374" s="239">
        <v>5</v>
      </c>
      <c r="P374" s="239">
        <v>0</v>
      </c>
      <c r="Q374" s="239">
        <v>9</v>
      </c>
      <c r="R374" s="239">
        <v>129</v>
      </c>
      <c r="S374" s="266">
        <f t="shared" si="10"/>
        <v>6091.5</v>
      </c>
      <c r="T374" s="267">
        <v>6091.5</v>
      </c>
      <c r="U374" s="267">
        <v>6028</v>
      </c>
      <c r="V374" s="267">
        <v>0</v>
      </c>
      <c r="W374" s="268" t="s">
        <v>218</v>
      </c>
      <c r="X374" s="268" t="s">
        <v>218</v>
      </c>
      <c r="Y374" s="269" t="s">
        <v>218</v>
      </c>
      <c r="Z374" s="270" t="s">
        <v>218</v>
      </c>
      <c r="AA374" s="268" t="s">
        <v>218</v>
      </c>
      <c r="AB374" s="268" t="s">
        <v>218</v>
      </c>
      <c r="AC374" s="269" t="s">
        <v>219</v>
      </c>
      <c r="AD374" s="269" t="s">
        <v>218</v>
      </c>
      <c r="AE374" s="269" t="s">
        <v>219</v>
      </c>
      <c r="AF374" s="268">
        <v>0</v>
      </c>
      <c r="AG374" s="239">
        <v>1</v>
      </c>
      <c r="AH374" s="239"/>
      <c r="AI374" s="239">
        <v>1</v>
      </c>
      <c r="AJ374" s="239">
        <v>1</v>
      </c>
    </row>
    <row r="375" spans="1:36" s="81" customFormat="1" ht="32.25" customHeight="1" x14ac:dyDescent="0.3">
      <c r="A375" s="5">
        <v>368</v>
      </c>
      <c r="B375" s="84" t="s">
        <v>196</v>
      </c>
      <c r="C375" s="274"/>
      <c r="D375" s="240" t="s">
        <v>1365</v>
      </c>
      <c r="E375" s="239">
        <v>4</v>
      </c>
      <c r="F375" s="239"/>
      <c r="G375" s="277" t="s">
        <v>245</v>
      </c>
      <c r="H375" s="84" t="s">
        <v>1060</v>
      </c>
      <c r="I375" s="239" t="s">
        <v>886</v>
      </c>
      <c r="J375" s="239" t="s">
        <v>216</v>
      </c>
      <c r="K375" s="118" t="s">
        <v>287</v>
      </c>
      <c r="L375" s="239"/>
      <c r="M375" s="239">
        <v>1984</v>
      </c>
      <c r="N375" s="239" t="s">
        <v>889</v>
      </c>
      <c r="O375" s="239">
        <v>9</v>
      </c>
      <c r="P375" s="239">
        <v>0</v>
      </c>
      <c r="Q375" s="239">
        <v>16</v>
      </c>
      <c r="R375" s="239">
        <v>628</v>
      </c>
      <c r="S375" s="266">
        <f t="shared" si="10"/>
        <v>31965.599999999999</v>
      </c>
      <c r="T375" s="267">
        <v>31965.599999999999</v>
      </c>
      <c r="U375" s="267">
        <v>31586.400000000001</v>
      </c>
      <c r="V375" s="267">
        <v>0</v>
      </c>
      <c r="W375" s="268" t="s">
        <v>218</v>
      </c>
      <c r="X375" s="268" t="s">
        <v>218</v>
      </c>
      <c r="Y375" s="269" t="s">
        <v>218</v>
      </c>
      <c r="Z375" s="270" t="s">
        <v>218</v>
      </c>
      <c r="AA375" s="268" t="s">
        <v>218</v>
      </c>
      <c r="AB375" s="268" t="s">
        <v>218</v>
      </c>
      <c r="AC375" s="269" t="s">
        <v>219</v>
      </c>
      <c r="AD375" s="269" t="s">
        <v>218</v>
      </c>
      <c r="AE375" s="269" t="s">
        <v>219</v>
      </c>
      <c r="AF375" s="268">
        <v>16</v>
      </c>
      <c r="AG375" s="239">
        <v>5</v>
      </c>
      <c r="AH375" s="239"/>
      <c r="AI375" s="239">
        <v>1</v>
      </c>
      <c r="AJ375" s="239">
        <v>1</v>
      </c>
    </row>
    <row r="376" spans="1:36" s="81" customFormat="1" ht="32.25" customHeight="1" x14ac:dyDescent="0.3">
      <c r="A376" s="80">
        <v>369</v>
      </c>
      <c r="B376" s="84" t="s">
        <v>196</v>
      </c>
      <c r="C376" s="275"/>
      <c r="D376" s="240" t="s">
        <v>1365</v>
      </c>
      <c r="E376" s="239">
        <v>5</v>
      </c>
      <c r="F376" s="239">
        <v>1</v>
      </c>
      <c r="G376" s="277" t="s">
        <v>245</v>
      </c>
      <c r="H376" s="84" t="s">
        <v>1061</v>
      </c>
      <c r="I376" s="239" t="s">
        <v>886</v>
      </c>
      <c r="J376" s="239" t="s">
        <v>216</v>
      </c>
      <c r="K376" s="118" t="s">
        <v>912</v>
      </c>
      <c r="L376" s="239"/>
      <c r="M376" s="239">
        <v>1972</v>
      </c>
      <c r="N376" s="239" t="s">
        <v>889</v>
      </c>
      <c r="O376" s="239">
        <v>9</v>
      </c>
      <c r="P376" s="239">
        <v>0</v>
      </c>
      <c r="Q376" s="239">
        <v>7</v>
      </c>
      <c r="R376" s="239">
        <v>736</v>
      </c>
      <c r="S376" s="266">
        <f t="shared" si="10"/>
        <v>14025.7</v>
      </c>
      <c r="T376" s="267">
        <v>14025.7</v>
      </c>
      <c r="U376" s="267">
        <v>13857.1</v>
      </c>
      <c r="V376" s="267">
        <v>39.5</v>
      </c>
      <c r="W376" s="268" t="s">
        <v>218</v>
      </c>
      <c r="X376" s="268" t="s">
        <v>218</v>
      </c>
      <c r="Y376" s="269" t="s">
        <v>218</v>
      </c>
      <c r="Z376" s="270" t="s">
        <v>218</v>
      </c>
      <c r="AA376" s="268" t="s">
        <v>218</v>
      </c>
      <c r="AB376" s="268" t="s">
        <v>218</v>
      </c>
      <c r="AC376" s="269" t="s">
        <v>219</v>
      </c>
      <c r="AD376" s="269" t="s">
        <v>218</v>
      </c>
      <c r="AE376" s="269" t="s">
        <v>219</v>
      </c>
      <c r="AF376" s="268">
        <v>7</v>
      </c>
      <c r="AG376" s="239">
        <v>2</v>
      </c>
      <c r="AH376" s="239"/>
      <c r="AI376" s="239">
        <v>1</v>
      </c>
      <c r="AJ376" s="239">
        <v>1</v>
      </c>
    </row>
    <row r="377" spans="1:36" s="81" customFormat="1" ht="32.25" customHeight="1" x14ac:dyDescent="0.3">
      <c r="A377" s="5">
        <v>370</v>
      </c>
      <c r="B377" s="84" t="s">
        <v>196</v>
      </c>
      <c r="C377" s="274"/>
      <c r="D377" s="240" t="s">
        <v>1365</v>
      </c>
      <c r="E377" s="239">
        <v>5</v>
      </c>
      <c r="F377" s="239">
        <v>2</v>
      </c>
      <c r="G377" s="277" t="s">
        <v>245</v>
      </c>
      <c r="H377" s="84" t="s">
        <v>1062</v>
      </c>
      <c r="I377" s="239" t="s">
        <v>247</v>
      </c>
      <c r="J377" s="239"/>
      <c r="K377" s="118" t="s">
        <v>916</v>
      </c>
      <c r="L377" s="239"/>
      <c r="M377" s="239">
        <v>1972</v>
      </c>
      <c r="N377" s="239" t="s">
        <v>889</v>
      </c>
      <c r="O377" s="239">
        <v>9</v>
      </c>
      <c r="P377" s="239">
        <v>0</v>
      </c>
      <c r="Q377" s="239">
        <v>5</v>
      </c>
      <c r="R377" s="239">
        <v>269</v>
      </c>
      <c r="S377" s="266">
        <f t="shared" si="10"/>
        <v>12626.2</v>
      </c>
      <c r="T377" s="267">
        <v>12626.2</v>
      </c>
      <c r="U377" s="267">
        <v>12131.6</v>
      </c>
      <c r="V377" s="267">
        <v>0</v>
      </c>
      <c r="W377" s="268" t="s">
        <v>218</v>
      </c>
      <c r="X377" s="268" t="s">
        <v>218</v>
      </c>
      <c r="Y377" s="269" t="s">
        <v>218</v>
      </c>
      <c r="Z377" s="270" t="s">
        <v>218</v>
      </c>
      <c r="AA377" s="268" t="s">
        <v>218</v>
      </c>
      <c r="AB377" s="268" t="s">
        <v>218</v>
      </c>
      <c r="AC377" s="269" t="s">
        <v>219</v>
      </c>
      <c r="AD377" s="269" t="s">
        <v>218</v>
      </c>
      <c r="AE377" s="269" t="s">
        <v>219</v>
      </c>
      <c r="AF377" s="268">
        <v>5</v>
      </c>
      <c r="AG377" s="239">
        <v>2</v>
      </c>
      <c r="AH377" s="239"/>
      <c r="AI377" s="239">
        <v>0</v>
      </c>
      <c r="AJ377" s="239">
        <v>0</v>
      </c>
    </row>
    <row r="378" spans="1:36" s="81" customFormat="1" ht="32.25" customHeight="1" x14ac:dyDescent="0.3">
      <c r="A378" s="80">
        <v>371</v>
      </c>
      <c r="B378" s="84" t="s">
        <v>196</v>
      </c>
      <c r="C378" s="275"/>
      <c r="D378" s="240" t="s">
        <v>1365</v>
      </c>
      <c r="E378" s="239">
        <v>5</v>
      </c>
      <c r="F378" s="239">
        <v>3</v>
      </c>
      <c r="G378" s="277" t="s">
        <v>245</v>
      </c>
      <c r="H378" s="84" t="s">
        <v>1063</v>
      </c>
      <c r="I378" s="239" t="s">
        <v>247</v>
      </c>
      <c r="J378" s="239"/>
      <c r="K378" s="118" t="s">
        <v>916</v>
      </c>
      <c r="L378" s="239"/>
      <c r="M378" s="239">
        <v>1972</v>
      </c>
      <c r="N378" s="239" t="s">
        <v>889</v>
      </c>
      <c r="O378" s="239">
        <v>9</v>
      </c>
      <c r="P378" s="239">
        <v>0</v>
      </c>
      <c r="Q378" s="239">
        <v>5</v>
      </c>
      <c r="R378" s="239">
        <v>269</v>
      </c>
      <c r="S378" s="266">
        <f t="shared" si="10"/>
        <v>12626.4</v>
      </c>
      <c r="T378" s="267">
        <v>12626.4</v>
      </c>
      <c r="U378" s="267">
        <v>12026.4</v>
      </c>
      <c r="V378" s="267">
        <v>0</v>
      </c>
      <c r="W378" s="268" t="s">
        <v>218</v>
      </c>
      <c r="X378" s="268" t="s">
        <v>218</v>
      </c>
      <c r="Y378" s="269" t="s">
        <v>218</v>
      </c>
      <c r="Z378" s="270" t="s">
        <v>218</v>
      </c>
      <c r="AA378" s="268" t="s">
        <v>218</v>
      </c>
      <c r="AB378" s="268" t="s">
        <v>218</v>
      </c>
      <c r="AC378" s="269" t="s">
        <v>219</v>
      </c>
      <c r="AD378" s="269" t="s">
        <v>218</v>
      </c>
      <c r="AE378" s="269" t="s">
        <v>219</v>
      </c>
      <c r="AF378" s="268">
        <v>5</v>
      </c>
      <c r="AG378" s="239">
        <v>0</v>
      </c>
      <c r="AH378" s="239"/>
      <c r="AI378" s="239">
        <v>0</v>
      </c>
      <c r="AJ378" s="239">
        <v>0</v>
      </c>
    </row>
    <row r="379" spans="1:36" s="81" customFormat="1" ht="32.25" customHeight="1" x14ac:dyDescent="0.3">
      <c r="A379" s="5">
        <v>372</v>
      </c>
      <c r="B379" s="84" t="s">
        <v>196</v>
      </c>
      <c r="C379" s="274"/>
      <c r="D379" s="240" t="s">
        <v>1365</v>
      </c>
      <c r="E379" s="239">
        <v>51</v>
      </c>
      <c r="F379" s="239"/>
      <c r="G379" s="277" t="s">
        <v>245</v>
      </c>
      <c r="H379" s="84" t="s">
        <v>1064</v>
      </c>
      <c r="I379" s="239" t="s">
        <v>886</v>
      </c>
      <c r="J379" s="239" t="s">
        <v>318</v>
      </c>
      <c r="K379" s="118"/>
      <c r="L379" s="239"/>
      <c r="M379" s="239">
        <v>1957</v>
      </c>
      <c r="N379" s="239" t="s">
        <v>893</v>
      </c>
      <c r="O379" s="239">
        <v>9</v>
      </c>
      <c r="P379" s="239">
        <v>0</v>
      </c>
      <c r="Q379" s="239">
        <v>1</v>
      </c>
      <c r="R379" s="239">
        <v>45</v>
      </c>
      <c r="S379" s="266">
        <f t="shared" si="10"/>
        <v>2080.38</v>
      </c>
      <c r="T379" s="267">
        <v>2080.38</v>
      </c>
      <c r="U379" s="267">
        <v>1984.18</v>
      </c>
      <c r="V379" s="267">
        <v>0</v>
      </c>
      <c r="W379" s="268" t="s">
        <v>218</v>
      </c>
      <c r="X379" s="268" t="s">
        <v>218</v>
      </c>
      <c r="Y379" s="269" t="s">
        <v>218</v>
      </c>
      <c r="Z379" s="270" t="s">
        <v>218</v>
      </c>
      <c r="AA379" s="268" t="s">
        <v>218</v>
      </c>
      <c r="AB379" s="268" t="s">
        <v>218</v>
      </c>
      <c r="AC379" s="269" t="s">
        <v>219</v>
      </c>
      <c r="AD379" s="269" t="s">
        <v>218</v>
      </c>
      <c r="AE379" s="269" t="s">
        <v>219</v>
      </c>
      <c r="AF379" s="268">
        <v>1</v>
      </c>
      <c r="AG379" s="239">
        <v>2</v>
      </c>
      <c r="AH379" s="239"/>
      <c r="AI379" s="239">
        <v>1</v>
      </c>
      <c r="AJ379" s="239">
        <v>1</v>
      </c>
    </row>
    <row r="380" spans="1:36" s="81" customFormat="1" ht="32.25" customHeight="1" x14ac:dyDescent="0.3">
      <c r="A380" s="80">
        <v>373</v>
      </c>
      <c r="B380" s="84" t="s">
        <v>196</v>
      </c>
      <c r="C380" s="275"/>
      <c r="D380" s="240" t="s">
        <v>1365</v>
      </c>
      <c r="E380" s="239">
        <v>55</v>
      </c>
      <c r="F380" s="239"/>
      <c r="G380" s="277" t="s">
        <v>245</v>
      </c>
      <c r="H380" s="84" t="s">
        <v>1065</v>
      </c>
      <c r="I380" s="239" t="s">
        <v>886</v>
      </c>
      <c r="J380" s="239" t="s">
        <v>318</v>
      </c>
      <c r="K380" s="118"/>
      <c r="L380" s="239"/>
      <c r="M380" s="239">
        <v>1957</v>
      </c>
      <c r="N380" s="239" t="s">
        <v>893</v>
      </c>
      <c r="O380" s="239">
        <v>9</v>
      </c>
      <c r="P380" s="239">
        <v>0</v>
      </c>
      <c r="Q380" s="239">
        <v>1</v>
      </c>
      <c r="R380" s="239">
        <v>45</v>
      </c>
      <c r="S380" s="266">
        <f t="shared" si="10"/>
        <v>2094.9</v>
      </c>
      <c r="T380" s="267">
        <v>2094.9</v>
      </c>
      <c r="U380" s="267">
        <v>1992.9</v>
      </c>
      <c r="V380" s="267">
        <v>0</v>
      </c>
      <c r="W380" s="268" t="s">
        <v>218</v>
      </c>
      <c r="X380" s="268" t="s">
        <v>218</v>
      </c>
      <c r="Y380" s="269" t="s">
        <v>218</v>
      </c>
      <c r="Z380" s="270" t="s">
        <v>218</v>
      </c>
      <c r="AA380" s="268" t="s">
        <v>218</v>
      </c>
      <c r="AB380" s="268" t="s">
        <v>218</v>
      </c>
      <c r="AC380" s="269" t="s">
        <v>219</v>
      </c>
      <c r="AD380" s="269" t="s">
        <v>218</v>
      </c>
      <c r="AE380" s="269" t="s">
        <v>219</v>
      </c>
      <c r="AF380" s="268">
        <v>1</v>
      </c>
      <c r="AG380" s="239">
        <v>2</v>
      </c>
      <c r="AH380" s="239"/>
      <c r="AI380" s="239">
        <v>1</v>
      </c>
      <c r="AJ380" s="239">
        <v>1</v>
      </c>
    </row>
    <row r="381" spans="1:36" s="81" customFormat="1" ht="32.25" customHeight="1" x14ac:dyDescent="0.3">
      <c r="A381" s="5">
        <v>374</v>
      </c>
      <c r="B381" s="84" t="s">
        <v>196</v>
      </c>
      <c r="C381" s="274"/>
      <c r="D381" s="240" t="s">
        <v>1365</v>
      </c>
      <c r="E381" s="239">
        <v>61</v>
      </c>
      <c r="F381" s="239"/>
      <c r="G381" s="277" t="s">
        <v>245</v>
      </c>
      <c r="H381" s="84" t="s">
        <v>1066</v>
      </c>
      <c r="I381" s="239" t="s">
        <v>886</v>
      </c>
      <c r="J381" s="239" t="s">
        <v>216</v>
      </c>
      <c r="K381" s="118"/>
      <c r="L381" s="239"/>
      <c r="M381" s="239">
        <v>1988</v>
      </c>
      <c r="N381" s="239" t="s">
        <v>889</v>
      </c>
      <c r="O381" s="239">
        <v>9</v>
      </c>
      <c r="P381" s="239">
        <v>0</v>
      </c>
      <c r="Q381" s="239">
        <v>9</v>
      </c>
      <c r="R381" s="239">
        <v>340</v>
      </c>
      <c r="S381" s="266">
        <f t="shared" si="10"/>
        <v>17890.3</v>
      </c>
      <c r="T381" s="267">
        <v>17890.3</v>
      </c>
      <c r="U381" s="267">
        <v>17670</v>
      </c>
      <c r="V381" s="267">
        <v>0</v>
      </c>
      <c r="W381" s="268" t="s">
        <v>218</v>
      </c>
      <c r="X381" s="268" t="s">
        <v>218</v>
      </c>
      <c r="Y381" s="269" t="s">
        <v>218</v>
      </c>
      <c r="Z381" s="270" t="s">
        <v>218</v>
      </c>
      <c r="AA381" s="268" t="s">
        <v>218</v>
      </c>
      <c r="AB381" s="268" t="s">
        <v>218</v>
      </c>
      <c r="AC381" s="269" t="s">
        <v>219</v>
      </c>
      <c r="AD381" s="269" t="s">
        <v>218</v>
      </c>
      <c r="AE381" s="269" t="s">
        <v>219</v>
      </c>
      <c r="AF381" s="268">
        <v>9</v>
      </c>
      <c r="AG381" s="239">
        <v>3</v>
      </c>
      <c r="AH381" s="239"/>
      <c r="AI381" s="239">
        <v>1</v>
      </c>
      <c r="AJ381" s="239">
        <v>1</v>
      </c>
    </row>
    <row r="382" spans="1:36" s="81" customFormat="1" ht="32.25" customHeight="1" x14ac:dyDescent="0.3">
      <c r="A382" s="80">
        <v>375</v>
      </c>
      <c r="B382" s="84" t="s">
        <v>196</v>
      </c>
      <c r="C382" s="275"/>
      <c r="D382" s="240" t="s">
        <v>1365</v>
      </c>
      <c r="E382" s="239">
        <v>63</v>
      </c>
      <c r="F382" s="239">
        <v>1</v>
      </c>
      <c r="G382" s="277" t="s">
        <v>245</v>
      </c>
      <c r="H382" s="84" t="s">
        <v>1067</v>
      </c>
      <c r="I382" s="239" t="s">
        <v>886</v>
      </c>
      <c r="J382" s="239" t="s">
        <v>216</v>
      </c>
      <c r="K382" s="118"/>
      <c r="L382" s="239"/>
      <c r="M382" s="239">
        <v>1972</v>
      </c>
      <c r="N382" s="239" t="s">
        <v>889</v>
      </c>
      <c r="O382" s="239">
        <v>9</v>
      </c>
      <c r="P382" s="239">
        <v>0</v>
      </c>
      <c r="Q382" s="239">
        <v>7</v>
      </c>
      <c r="R382" s="239">
        <v>259</v>
      </c>
      <c r="S382" s="266">
        <f t="shared" si="10"/>
        <v>13967.6</v>
      </c>
      <c r="T382" s="267">
        <v>13967.6</v>
      </c>
      <c r="U382" s="267">
        <v>13747</v>
      </c>
      <c r="V382" s="267">
        <v>103.6</v>
      </c>
      <c r="W382" s="268" t="s">
        <v>218</v>
      </c>
      <c r="X382" s="268" t="s">
        <v>218</v>
      </c>
      <c r="Y382" s="269" t="s">
        <v>218</v>
      </c>
      <c r="Z382" s="270" t="s">
        <v>218</v>
      </c>
      <c r="AA382" s="268" t="s">
        <v>218</v>
      </c>
      <c r="AB382" s="268" t="s">
        <v>218</v>
      </c>
      <c r="AC382" s="269" t="s">
        <v>219</v>
      </c>
      <c r="AD382" s="269" t="s">
        <v>218</v>
      </c>
      <c r="AE382" s="269" t="s">
        <v>219</v>
      </c>
      <c r="AF382" s="268">
        <v>7</v>
      </c>
      <c r="AG382" s="239">
        <v>2</v>
      </c>
      <c r="AH382" s="239"/>
      <c r="AI382" s="239">
        <v>1</v>
      </c>
      <c r="AJ382" s="239">
        <v>1</v>
      </c>
    </row>
    <row r="383" spans="1:36" s="81" customFormat="1" ht="32.25" customHeight="1" x14ac:dyDescent="0.3">
      <c r="A383" s="5">
        <v>376</v>
      </c>
      <c r="B383" s="84" t="s">
        <v>196</v>
      </c>
      <c r="C383" s="274"/>
      <c r="D383" s="240" t="s">
        <v>1365</v>
      </c>
      <c r="E383" s="239">
        <v>8</v>
      </c>
      <c r="F383" s="239">
        <v>1</v>
      </c>
      <c r="G383" s="277" t="s">
        <v>245</v>
      </c>
      <c r="H383" s="84" t="s">
        <v>1068</v>
      </c>
      <c r="I383" s="239" t="s">
        <v>886</v>
      </c>
      <c r="J383" s="239" t="s">
        <v>216</v>
      </c>
      <c r="K383" s="118" t="s">
        <v>917</v>
      </c>
      <c r="L383" s="239"/>
      <c r="M383" s="239">
        <v>1968</v>
      </c>
      <c r="N383" s="239" t="s">
        <v>889</v>
      </c>
      <c r="O383" s="239">
        <v>5</v>
      </c>
      <c r="P383" s="239">
        <v>0</v>
      </c>
      <c r="Q383" s="239">
        <v>7</v>
      </c>
      <c r="R383" s="239">
        <v>139</v>
      </c>
      <c r="S383" s="266">
        <f t="shared" si="10"/>
        <v>11245</v>
      </c>
      <c r="T383" s="267">
        <v>11245</v>
      </c>
      <c r="U383" s="267">
        <v>11197.3</v>
      </c>
      <c r="V383" s="267">
        <v>0</v>
      </c>
      <c r="W383" s="268" t="s">
        <v>218</v>
      </c>
      <c r="X383" s="268" t="s">
        <v>218</v>
      </c>
      <c r="Y383" s="269" t="s">
        <v>218</v>
      </c>
      <c r="Z383" s="270" t="s">
        <v>218</v>
      </c>
      <c r="AA383" s="268" t="s">
        <v>218</v>
      </c>
      <c r="AB383" s="268" t="s">
        <v>218</v>
      </c>
      <c r="AC383" s="269" t="s">
        <v>219</v>
      </c>
      <c r="AD383" s="269" t="s">
        <v>218</v>
      </c>
      <c r="AE383" s="269" t="s">
        <v>219</v>
      </c>
      <c r="AF383" s="268">
        <v>6</v>
      </c>
      <c r="AG383" s="239">
        <v>1</v>
      </c>
      <c r="AH383" s="239"/>
      <c r="AI383" s="239">
        <v>1</v>
      </c>
      <c r="AJ383" s="239">
        <v>1</v>
      </c>
    </row>
    <row r="384" spans="1:36" s="81" customFormat="1" ht="32.25" customHeight="1" x14ac:dyDescent="0.3">
      <c r="A384" s="80">
        <v>377</v>
      </c>
      <c r="B384" s="84" t="s">
        <v>196</v>
      </c>
      <c r="C384" s="275"/>
      <c r="D384" s="240" t="s">
        <v>1365</v>
      </c>
      <c r="E384" s="239">
        <v>8</v>
      </c>
      <c r="F384" s="239">
        <v>2</v>
      </c>
      <c r="G384" s="277" t="s">
        <v>245</v>
      </c>
      <c r="H384" s="84" t="s">
        <v>1069</v>
      </c>
      <c r="I384" s="239" t="s">
        <v>886</v>
      </c>
      <c r="J384" s="239" t="s">
        <v>216</v>
      </c>
      <c r="K384" s="118" t="s">
        <v>917</v>
      </c>
      <c r="L384" s="239"/>
      <c r="M384" s="239">
        <v>1968</v>
      </c>
      <c r="N384" s="239" t="s">
        <v>889</v>
      </c>
      <c r="O384" s="239">
        <v>5</v>
      </c>
      <c r="P384" s="239">
        <v>0</v>
      </c>
      <c r="Q384" s="239">
        <v>7</v>
      </c>
      <c r="R384" s="239">
        <v>139</v>
      </c>
      <c r="S384" s="266">
        <f t="shared" si="10"/>
        <v>6974.1</v>
      </c>
      <c r="T384" s="267">
        <v>6974.1</v>
      </c>
      <c r="U384" s="267">
        <v>6862.4</v>
      </c>
      <c r="V384" s="267">
        <v>0</v>
      </c>
      <c r="W384" s="268" t="s">
        <v>218</v>
      </c>
      <c r="X384" s="268" t="s">
        <v>218</v>
      </c>
      <c r="Y384" s="269" t="s">
        <v>218</v>
      </c>
      <c r="Z384" s="270" t="s">
        <v>218</v>
      </c>
      <c r="AA384" s="268" t="s">
        <v>218</v>
      </c>
      <c r="AB384" s="268" t="s">
        <v>218</v>
      </c>
      <c r="AC384" s="269" t="s">
        <v>219</v>
      </c>
      <c r="AD384" s="269" t="s">
        <v>218</v>
      </c>
      <c r="AE384" s="269" t="s">
        <v>219</v>
      </c>
      <c r="AF384" s="268">
        <v>0</v>
      </c>
      <c r="AG384" s="239">
        <v>1</v>
      </c>
      <c r="AH384" s="239"/>
      <c r="AI384" s="239">
        <v>1</v>
      </c>
      <c r="AJ384" s="239">
        <v>1</v>
      </c>
    </row>
    <row r="385" spans="1:36" s="81" customFormat="1" ht="32.25" customHeight="1" x14ac:dyDescent="0.3">
      <c r="A385" s="5">
        <v>378</v>
      </c>
      <c r="B385" s="84" t="s">
        <v>196</v>
      </c>
      <c r="C385" s="274"/>
      <c r="D385" s="240" t="s">
        <v>1365</v>
      </c>
      <c r="E385" s="239">
        <v>8</v>
      </c>
      <c r="F385" s="239"/>
      <c r="G385" s="277" t="s">
        <v>245</v>
      </c>
      <c r="H385" s="84" t="s">
        <v>1070</v>
      </c>
      <c r="I385" s="239" t="s">
        <v>886</v>
      </c>
      <c r="J385" s="239" t="s">
        <v>216</v>
      </c>
      <c r="K385" s="118" t="s">
        <v>918</v>
      </c>
      <c r="L385" s="239"/>
      <c r="M385" s="239">
        <v>1970</v>
      </c>
      <c r="N385" s="239" t="s">
        <v>889</v>
      </c>
      <c r="O385" s="239">
        <v>9</v>
      </c>
      <c r="P385" s="239">
        <v>0</v>
      </c>
      <c r="Q385" s="239">
        <v>6</v>
      </c>
      <c r="R385" s="239">
        <v>216</v>
      </c>
      <c r="S385" s="266">
        <f t="shared" si="10"/>
        <v>6950.68</v>
      </c>
      <c r="T385" s="267">
        <v>6950.68</v>
      </c>
      <c r="U385" s="267">
        <v>6842.05</v>
      </c>
      <c r="V385" s="267">
        <v>0</v>
      </c>
      <c r="W385" s="268" t="s">
        <v>218</v>
      </c>
      <c r="X385" s="268" t="s">
        <v>218</v>
      </c>
      <c r="Y385" s="269" t="s">
        <v>218</v>
      </c>
      <c r="Z385" s="270" t="s">
        <v>218</v>
      </c>
      <c r="AA385" s="268" t="s">
        <v>218</v>
      </c>
      <c r="AB385" s="268" t="s">
        <v>218</v>
      </c>
      <c r="AC385" s="269" t="s">
        <v>219</v>
      </c>
      <c r="AD385" s="269" t="s">
        <v>218</v>
      </c>
      <c r="AE385" s="269" t="s">
        <v>219</v>
      </c>
      <c r="AF385" s="268">
        <v>0</v>
      </c>
      <c r="AG385" s="239">
        <v>2</v>
      </c>
      <c r="AH385" s="239"/>
      <c r="AI385" s="239">
        <v>1</v>
      </c>
      <c r="AJ385" s="239">
        <v>1</v>
      </c>
    </row>
    <row r="386" spans="1:36" s="81" customFormat="1" ht="32.25" customHeight="1" x14ac:dyDescent="0.3">
      <c r="A386" s="80">
        <v>379</v>
      </c>
      <c r="B386" s="84" t="s">
        <v>196</v>
      </c>
      <c r="C386" s="275"/>
      <c r="D386" s="240" t="s">
        <v>1365</v>
      </c>
      <c r="E386" s="239">
        <v>9</v>
      </c>
      <c r="F386" s="239">
        <v>1</v>
      </c>
      <c r="G386" s="277" t="s">
        <v>245</v>
      </c>
      <c r="H386" s="84" t="s">
        <v>1071</v>
      </c>
      <c r="I386" s="239" t="s">
        <v>886</v>
      </c>
      <c r="J386" s="239" t="s">
        <v>216</v>
      </c>
      <c r="K386" s="118" t="s">
        <v>919</v>
      </c>
      <c r="L386" s="239"/>
      <c r="M386" s="239">
        <v>1973</v>
      </c>
      <c r="N386" s="239" t="s">
        <v>889</v>
      </c>
      <c r="O386" s="239">
        <v>9</v>
      </c>
      <c r="P386" s="239">
        <v>0</v>
      </c>
      <c r="Q386" s="239">
        <v>9</v>
      </c>
      <c r="R386" s="239">
        <v>493</v>
      </c>
      <c r="S386" s="266">
        <f t="shared" si="10"/>
        <v>15854.8</v>
      </c>
      <c r="T386" s="267">
        <v>15854.8</v>
      </c>
      <c r="U386" s="267">
        <v>15524</v>
      </c>
      <c r="V386" s="267">
        <v>41</v>
      </c>
      <c r="W386" s="268" t="s">
        <v>218</v>
      </c>
      <c r="X386" s="268" t="s">
        <v>218</v>
      </c>
      <c r="Y386" s="269" t="s">
        <v>218</v>
      </c>
      <c r="Z386" s="270" t="s">
        <v>218</v>
      </c>
      <c r="AA386" s="268" t="s">
        <v>218</v>
      </c>
      <c r="AB386" s="268" t="s">
        <v>218</v>
      </c>
      <c r="AC386" s="269" t="s">
        <v>219</v>
      </c>
      <c r="AD386" s="269" t="s">
        <v>218</v>
      </c>
      <c r="AE386" s="269" t="s">
        <v>219</v>
      </c>
      <c r="AF386" s="268">
        <v>9</v>
      </c>
      <c r="AG386" s="239">
        <v>4</v>
      </c>
      <c r="AH386" s="239"/>
      <c r="AI386" s="239">
        <v>1</v>
      </c>
      <c r="AJ386" s="239">
        <v>1</v>
      </c>
    </row>
    <row r="387" spans="1:36" s="81" customFormat="1" ht="32.25" customHeight="1" x14ac:dyDescent="0.3">
      <c r="A387" s="5">
        <v>380</v>
      </c>
      <c r="B387" s="84" t="s">
        <v>196</v>
      </c>
      <c r="D387" s="240" t="s">
        <v>1367</v>
      </c>
      <c r="E387" s="239">
        <v>11</v>
      </c>
      <c r="F387" s="239"/>
      <c r="G387" s="277" t="s">
        <v>245</v>
      </c>
      <c r="H387" s="84" t="s">
        <v>1072</v>
      </c>
      <c r="I387" s="239" t="s">
        <v>247</v>
      </c>
      <c r="J387" s="239"/>
      <c r="K387" s="118" t="s">
        <v>356</v>
      </c>
      <c r="L387" s="239"/>
      <c r="M387" s="239">
        <v>1964</v>
      </c>
      <c r="N387" s="239" t="s">
        <v>889</v>
      </c>
      <c r="O387" s="239">
        <v>5</v>
      </c>
      <c r="P387" s="239">
        <v>0</v>
      </c>
      <c r="Q387" s="239">
        <v>6</v>
      </c>
      <c r="R387" s="239">
        <v>90</v>
      </c>
      <c r="S387" s="266">
        <f t="shared" si="10"/>
        <v>4144.2</v>
      </c>
      <c r="T387" s="267">
        <v>4144.2</v>
      </c>
      <c r="U387" s="267">
        <v>4086.1</v>
      </c>
      <c r="V387" s="267">
        <v>0</v>
      </c>
      <c r="W387" s="268" t="s">
        <v>218</v>
      </c>
      <c r="X387" s="268" t="s">
        <v>218</v>
      </c>
      <c r="Y387" s="269" t="s">
        <v>218</v>
      </c>
      <c r="Z387" s="270" t="s">
        <v>218</v>
      </c>
      <c r="AA387" s="268" t="s">
        <v>218</v>
      </c>
      <c r="AB387" s="268" t="s">
        <v>218</v>
      </c>
      <c r="AC387" s="269" t="s">
        <v>219</v>
      </c>
      <c r="AD387" s="269" t="s">
        <v>218</v>
      </c>
      <c r="AE387" s="269" t="s">
        <v>219</v>
      </c>
      <c r="AF387" s="268">
        <v>0</v>
      </c>
      <c r="AG387" s="239">
        <v>1</v>
      </c>
      <c r="AH387" s="239"/>
      <c r="AI387" s="239">
        <v>1</v>
      </c>
      <c r="AJ387" s="239">
        <v>1</v>
      </c>
    </row>
    <row r="388" spans="1:36" s="81" customFormat="1" ht="32.25" customHeight="1" x14ac:dyDescent="0.3">
      <c r="A388" s="80">
        <v>381</v>
      </c>
      <c r="B388" s="84" t="s">
        <v>196</v>
      </c>
      <c r="D388" s="240" t="s">
        <v>1367</v>
      </c>
      <c r="E388" s="239">
        <v>13</v>
      </c>
      <c r="F388" s="239"/>
      <c r="G388" s="277" t="s">
        <v>245</v>
      </c>
      <c r="H388" s="84" t="s">
        <v>1073</v>
      </c>
      <c r="I388" s="239" t="s">
        <v>886</v>
      </c>
      <c r="J388" s="239" t="s">
        <v>887</v>
      </c>
      <c r="K388" s="118" t="s">
        <v>920</v>
      </c>
      <c r="L388" s="239"/>
      <c r="M388" s="239">
        <v>1964</v>
      </c>
      <c r="N388" s="239" t="s">
        <v>889</v>
      </c>
      <c r="O388" s="239">
        <v>5</v>
      </c>
      <c r="P388" s="239">
        <v>0</v>
      </c>
      <c r="Q388" s="239">
        <v>6</v>
      </c>
      <c r="R388" s="239">
        <v>90</v>
      </c>
      <c r="S388" s="266">
        <f t="shared" si="10"/>
        <v>4152</v>
      </c>
      <c r="T388" s="267">
        <v>4152</v>
      </c>
      <c r="U388" s="267">
        <v>4094.1</v>
      </c>
      <c r="V388" s="267">
        <v>0</v>
      </c>
      <c r="W388" s="268" t="s">
        <v>218</v>
      </c>
      <c r="X388" s="268" t="s">
        <v>218</v>
      </c>
      <c r="Y388" s="269" t="s">
        <v>218</v>
      </c>
      <c r="Z388" s="270" t="s">
        <v>218</v>
      </c>
      <c r="AA388" s="268" t="s">
        <v>218</v>
      </c>
      <c r="AB388" s="268" t="s">
        <v>218</v>
      </c>
      <c r="AC388" s="269" t="s">
        <v>219</v>
      </c>
      <c r="AD388" s="269" t="s">
        <v>218</v>
      </c>
      <c r="AE388" s="269" t="s">
        <v>219</v>
      </c>
      <c r="AF388" s="268">
        <v>0</v>
      </c>
      <c r="AG388" s="239">
        <v>1</v>
      </c>
      <c r="AH388" s="239"/>
      <c r="AI388" s="239">
        <v>1</v>
      </c>
      <c r="AJ388" s="239">
        <v>1</v>
      </c>
    </row>
    <row r="389" spans="1:36" s="81" customFormat="1" ht="32.25" customHeight="1" x14ac:dyDescent="0.3">
      <c r="A389" s="5">
        <v>382</v>
      </c>
      <c r="B389" s="84" t="s">
        <v>196</v>
      </c>
      <c r="D389" s="240" t="s">
        <v>1367</v>
      </c>
      <c r="E389" s="239">
        <v>15</v>
      </c>
      <c r="F389" s="239"/>
      <c r="G389" s="277" t="s">
        <v>245</v>
      </c>
      <c r="H389" s="84" t="s">
        <v>1074</v>
      </c>
      <c r="I389" s="239" t="s">
        <v>886</v>
      </c>
      <c r="J389" s="239" t="s">
        <v>887</v>
      </c>
      <c r="K389" s="118" t="s">
        <v>920</v>
      </c>
      <c r="L389" s="239"/>
      <c r="M389" s="239">
        <v>1964</v>
      </c>
      <c r="N389" s="239" t="s">
        <v>889</v>
      </c>
      <c r="O389" s="239">
        <v>5</v>
      </c>
      <c r="P389" s="239">
        <v>0</v>
      </c>
      <c r="Q389" s="239">
        <v>6</v>
      </c>
      <c r="R389" s="239">
        <v>90</v>
      </c>
      <c r="S389" s="266">
        <f t="shared" si="10"/>
        <v>4188.2</v>
      </c>
      <c r="T389" s="267">
        <v>4188.2</v>
      </c>
      <c r="U389" s="267">
        <v>4086.8</v>
      </c>
      <c r="V389" s="267">
        <v>0</v>
      </c>
      <c r="W389" s="268" t="s">
        <v>218</v>
      </c>
      <c r="X389" s="268" t="s">
        <v>218</v>
      </c>
      <c r="Y389" s="269" t="s">
        <v>218</v>
      </c>
      <c r="Z389" s="270" t="s">
        <v>218</v>
      </c>
      <c r="AA389" s="268" t="s">
        <v>218</v>
      </c>
      <c r="AB389" s="268" t="s">
        <v>218</v>
      </c>
      <c r="AC389" s="269" t="s">
        <v>219</v>
      </c>
      <c r="AD389" s="269" t="s">
        <v>218</v>
      </c>
      <c r="AE389" s="269" t="s">
        <v>219</v>
      </c>
      <c r="AF389" s="268">
        <v>0</v>
      </c>
      <c r="AG389" s="239">
        <v>1</v>
      </c>
      <c r="AH389" s="239"/>
      <c r="AI389" s="239">
        <v>1</v>
      </c>
      <c r="AJ389" s="239">
        <v>1</v>
      </c>
    </row>
    <row r="390" spans="1:36" s="81" customFormat="1" ht="32.25" customHeight="1" x14ac:dyDescent="0.3">
      <c r="A390" s="80">
        <v>383</v>
      </c>
      <c r="B390" s="84" t="s">
        <v>196</v>
      </c>
      <c r="D390" s="240" t="s">
        <v>382</v>
      </c>
      <c r="E390" s="239">
        <v>17</v>
      </c>
      <c r="F390" s="239"/>
      <c r="G390" s="277" t="s">
        <v>245</v>
      </c>
      <c r="H390" s="84" t="s">
        <v>1075</v>
      </c>
      <c r="I390" s="239" t="s">
        <v>886</v>
      </c>
      <c r="J390" s="239" t="s">
        <v>887</v>
      </c>
      <c r="K390" s="118" t="s">
        <v>920</v>
      </c>
      <c r="L390" s="239"/>
      <c r="M390" s="239">
        <v>1964</v>
      </c>
      <c r="N390" s="239" t="s">
        <v>889</v>
      </c>
      <c r="O390" s="239">
        <v>5</v>
      </c>
      <c r="P390" s="239">
        <v>0</v>
      </c>
      <c r="Q390" s="239">
        <v>6</v>
      </c>
      <c r="R390" s="239">
        <v>90</v>
      </c>
      <c r="S390" s="266">
        <f t="shared" si="10"/>
        <v>4141.8999999999996</v>
      </c>
      <c r="T390" s="267">
        <v>4141.8999999999996</v>
      </c>
      <c r="U390" s="267">
        <v>4084.1</v>
      </c>
      <c r="V390" s="267">
        <v>0</v>
      </c>
      <c r="W390" s="268" t="s">
        <v>218</v>
      </c>
      <c r="X390" s="268" t="s">
        <v>218</v>
      </c>
      <c r="Y390" s="269" t="s">
        <v>218</v>
      </c>
      <c r="Z390" s="270" t="s">
        <v>218</v>
      </c>
      <c r="AA390" s="268" t="s">
        <v>218</v>
      </c>
      <c r="AB390" s="268" t="s">
        <v>218</v>
      </c>
      <c r="AC390" s="269" t="s">
        <v>219</v>
      </c>
      <c r="AD390" s="269" t="s">
        <v>218</v>
      </c>
      <c r="AE390" s="269" t="s">
        <v>219</v>
      </c>
      <c r="AF390" s="268">
        <v>0</v>
      </c>
      <c r="AG390" s="239">
        <v>1</v>
      </c>
      <c r="AH390" s="239"/>
      <c r="AI390" s="239">
        <v>1</v>
      </c>
      <c r="AJ390" s="239">
        <v>1</v>
      </c>
    </row>
    <row r="391" spans="1:36" s="81" customFormat="1" ht="32.25" customHeight="1" x14ac:dyDescent="0.3">
      <c r="A391" s="5">
        <v>384</v>
      </c>
      <c r="B391" s="84" t="s">
        <v>196</v>
      </c>
      <c r="D391" s="240" t="s">
        <v>1367</v>
      </c>
      <c r="E391" s="239">
        <v>19</v>
      </c>
      <c r="F391" s="239"/>
      <c r="G391" s="277" t="s">
        <v>245</v>
      </c>
      <c r="H391" s="84" t="s">
        <v>1076</v>
      </c>
      <c r="I391" s="239" t="s">
        <v>886</v>
      </c>
      <c r="J391" s="239"/>
      <c r="K391" s="118" t="s">
        <v>920</v>
      </c>
      <c r="L391" s="239"/>
      <c r="M391" s="239">
        <v>1964</v>
      </c>
      <c r="N391" s="239" t="s">
        <v>889</v>
      </c>
      <c r="O391" s="239">
        <v>5</v>
      </c>
      <c r="P391" s="239">
        <v>0</v>
      </c>
      <c r="Q391" s="239">
        <v>6</v>
      </c>
      <c r="R391" s="239">
        <v>90</v>
      </c>
      <c r="S391" s="266">
        <f t="shared" si="10"/>
        <v>4149.3</v>
      </c>
      <c r="T391" s="267">
        <v>4149.3</v>
      </c>
      <c r="U391" s="267">
        <v>4091.3</v>
      </c>
      <c r="V391" s="267">
        <v>0</v>
      </c>
      <c r="W391" s="268" t="s">
        <v>218</v>
      </c>
      <c r="X391" s="268" t="s">
        <v>218</v>
      </c>
      <c r="Y391" s="269" t="s">
        <v>218</v>
      </c>
      <c r="Z391" s="270" t="s">
        <v>218</v>
      </c>
      <c r="AA391" s="268" t="s">
        <v>218</v>
      </c>
      <c r="AB391" s="268" t="s">
        <v>218</v>
      </c>
      <c r="AC391" s="269" t="s">
        <v>219</v>
      </c>
      <c r="AD391" s="269" t="s">
        <v>218</v>
      </c>
      <c r="AE391" s="269" t="s">
        <v>219</v>
      </c>
      <c r="AF391" s="268">
        <v>0</v>
      </c>
      <c r="AG391" s="239">
        <v>1</v>
      </c>
      <c r="AH391" s="239"/>
      <c r="AI391" s="239">
        <v>1</v>
      </c>
      <c r="AJ391" s="239">
        <v>1</v>
      </c>
    </row>
    <row r="392" spans="1:36" s="81" customFormat="1" ht="32.25" customHeight="1" x14ac:dyDescent="0.3">
      <c r="A392" s="80">
        <v>385</v>
      </c>
      <c r="B392" s="84" t="s">
        <v>196</v>
      </c>
      <c r="D392" s="240" t="s">
        <v>1367</v>
      </c>
      <c r="E392" s="239">
        <v>21</v>
      </c>
      <c r="F392" s="239">
        <v>1</v>
      </c>
      <c r="G392" s="277" t="s">
        <v>245</v>
      </c>
      <c r="H392" s="84" t="s">
        <v>1077</v>
      </c>
      <c r="I392" s="239" t="s">
        <v>886</v>
      </c>
      <c r="J392" s="239" t="s">
        <v>887</v>
      </c>
      <c r="K392" s="118" t="s">
        <v>921</v>
      </c>
      <c r="L392" s="239"/>
      <c r="M392" s="239">
        <v>1970</v>
      </c>
      <c r="N392" s="239" t="s">
        <v>889</v>
      </c>
      <c r="O392" s="239">
        <v>5</v>
      </c>
      <c r="P392" s="239">
        <v>0</v>
      </c>
      <c r="Q392" s="239">
        <v>3</v>
      </c>
      <c r="R392" s="239">
        <v>60</v>
      </c>
      <c r="S392" s="266">
        <f t="shared" si="10"/>
        <v>4155.8</v>
      </c>
      <c r="T392" s="267">
        <v>4155.8</v>
      </c>
      <c r="U392" s="267">
        <v>4098.1000000000004</v>
      </c>
      <c r="V392" s="267">
        <v>0</v>
      </c>
      <c r="W392" s="268" t="s">
        <v>218</v>
      </c>
      <c r="X392" s="268" t="s">
        <v>218</v>
      </c>
      <c r="Y392" s="269" t="s">
        <v>218</v>
      </c>
      <c r="Z392" s="270" t="s">
        <v>218</v>
      </c>
      <c r="AA392" s="268" t="s">
        <v>218</v>
      </c>
      <c r="AB392" s="268" t="s">
        <v>218</v>
      </c>
      <c r="AC392" s="269" t="s">
        <v>219</v>
      </c>
      <c r="AD392" s="269" t="s">
        <v>218</v>
      </c>
      <c r="AE392" s="269" t="s">
        <v>219</v>
      </c>
      <c r="AF392" s="268">
        <v>0</v>
      </c>
      <c r="AG392" s="239">
        <v>1</v>
      </c>
      <c r="AH392" s="239"/>
      <c r="AI392" s="239">
        <v>1</v>
      </c>
      <c r="AJ392" s="239">
        <v>1</v>
      </c>
    </row>
    <row r="393" spans="1:36" s="81" customFormat="1" ht="32.25" customHeight="1" x14ac:dyDescent="0.3">
      <c r="A393" s="5">
        <v>386</v>
      </c>
      <c r="B393" s="84" t="s">
        <v>196</v>
      </c>
      <c r="D393" s="240" t="s">
        <v>1367</v>
      </c>
      <c r="E393" s="239">
        <v>21</v>
      </c>
      <c r="F393" s="239">
        <v>2</v>
      </c>
      <c r="G393" s="277" t="s">
        <v>245</v>
      </c>
      <c r="H393" s="84" t="s">
        <v>1078</v>
      </c>
      <c r="I393" s="239" t="s">
        <v>886</v>
      </c>
      <c r="J393" s="239"/>
      <c r="K393" s="118" t="s">
        <v>356</v>
      </c>
      <c r="L393" s="239"/>
      <c r="M393" s="239">
        <v>1981</v>
      </c>
      <c r="N393" s="239" t="s">
        <v>893</v>
      </c>
      <c r="O393" s="239">
        <v>5</v>
      </c>
      <c r="P393" s="239">
        <v>0</v>
      </c>
      <c r="Q393" s="239">
        <v>4</v>
      </c>
      <c r="R393" s="239">
        <v>60</v>
      </c>
      <c r="S393" s="266">
        <f t="shared" si="10"/>
        <v>2602.5100000000002</v>
      </c>
      <c r="T393" s="267">
        <v>2602.5100000000002</v>
      </c>
      <c r="U393" s="267">
        <v>2582.46</v>
      </c>
      <c r="V393" s="267">
        <v>0</v>
      </c>
      <c r="W393" s="268" t="s">
        <v>218</v>
      </c>
      <c r="X393" s="268" t="s">
        <v>218</v>
      </c>
      <c r="Y393" s="269" t="s">
        <v>218</v>
      </c>
      <c r="Z393" s="270" t="s">
        <v>218</v>
      </c>
      <c r="AA393" s="268" t="s">
        <v>218</v>
      </c>
      <c r="AB393" s="268" t="s">
        <v>218</v>
      </c>
      <c r="AC393" s="269" t="s">
        <v>219</v>
      </c>
      <c r="AD393" s="269" t="s">
        <v>218</v>
      </c>
      <c r="AE393" s="269" t="s">
        <v>219</v>
      </c>
      <c r="AF393" s="268">
        <v>0</v>
      </c>
      <c r="AG393" s="239">
        <v>1</v>
      </c>
      <c r="AH393" s="239"/>
      <c r="AI393" s="239">
        <v>1</v>
      </c>
      <c r="AJ393" s="239">
        <v>1</v>
      </c>
    </row>
    <row r="394" spans="1:36" s="81" customFormat="1" ht="32.25" customHeight="1" x14ac:dyDescent="0.3">
      <c r="A394" s="80">
        <v>387</v>
      </c>
      <c r="B394" s="84" t="s">
        <v>196</v>
      </c>
      <c r="D394" s="240" t="s">
        <v>1367</v>
      </c>
      <c r="E394" s="239">
        <v>21</v>
      </c>
      <c r="F394" s="239"/>
      <c r="G394" s="277" t="s">
        <v>245</v>
      </c>
      <c r="H394" s="84" t="s">
        <v>1079</v>
      </c>
      <c r="I394" s="239" t="s">
        <v>886</v>
      </c>
      <c r="J394" s="239"/>
      <c r="K394" s="118" t="s">
        <v>920</v>
      </c>
      <c r="L394" s="239"/>
      <c r="M394" s="239">
        <v>1964</v>
      </c>
      <c r="N394" s="239" t="s">
        <v>889</v>
      </c>
      <c r="O394" s="239">
        <v>5</v>
      </c>
      <c r="P394" s="239">
        <v>0</v>
      </c>
      <c r="Q394" s="239">
        <v>6</v>
      </c>
      <c r="R394" s="239">
        <v>90</v>
      </c>
      <c r="S394" s="266">
        <f t="shared" si="10"/>
        <v>4001.4</v>
      </c>
      <c r="T394" s="267">
        <v>4001.4</v>
      </c>
      <c r="U394" s="267">
        <v>3308.7</v>
      </c>
      <c r="V394" s="267">
        <v>0</v>
      </c>
      <c r="W394" s="268" t="s">
        <v>218</v>
      </c>
      <c r="X394" s="268" t="s">
        <v>218</v>
      </c>
      <c r="Y394" s="269" t="s">
        <v>218</v>
      </c>
      <c r="Z394" s="270" t="s">
        <v>218</v>
      </c>
      <c r="AA394" s="268" t="s">
        <v>218</v>
      </c>
      <c r="AB394" s="268" t="s">
        <v>218</v>
      </c>
      <c r="AC394" s="269" t="s">
        <v>219</v>
      </c>
      <c r="AD394" s="269" t="s">
        <v>218</v>
      </c>
      <c r="AE394" s="269" t="s">
        <v>219</v>
      </c>
      <c r="AF394" s="268">
        <v>0</v>
      </c>
      <c r="AG394" s="239">
        <v>1</v>
      </c>
      <c r="AH394" s="239"/>
      <c r="AI394" s="239">
        <v>1</v>
      </c>
      <c r="AJ394" s="239">
        <v>1</v>
      </c>
    </row>
    <row r="395" spans="1:36" s="275" customFormat="1" ht="32.25" customHeight="1" x14ac:dyDescent="0.3">
      <c r="A395" s="5">
        <v>388</v>
      </c>
      <c r="B395" s="84" t="s">
        <v>196</v>
      </c>
      <c r="C395" s="81"/>
      <c r="D395" s="276" t="s">
        <v>1367</v>
      </c>
      <c r="E395" s="277">
        <v>23</v>
      </c>
      <c r="F395" s="277">
        <v>1</v>
      </c>
      <c r="G395" s="277" t="s">
        <v>245</v>
      </c>
      <c r="H395" s="84" t="s">
        <v>1080</v>
      </c>
      <c r="I395" s="277" t="s">
        <v>886</v>
      </c>
      <c r="J395" s="239" t="s">
        <v>318</v>
      </c>
      <c r="K395" s="118" t="s">
        <v>922</v>
      </c>
      <c r="L395" s="277"/>
      <c r="M395" s="277">
        <v>1976</v>
      </c>
      <c r="N395" s="239" t="s">
        <v>893</v>
      </c>
      <c r="O395" s="277">
        <v>10</v>
      </c>
      <c r="P395" s="239">
        <v>0</v>
      </c>
      <c r="Q395" s="277">
        <v>21</v>
      </c>
      <c r="R395" s="277">
        <v>963</v>
      </c>
      <c r="S395" s="266">
        <f t="shared" si="10"/>
        <v>54377.5</v>
      </c>
      <c r="T395" s="267">
        <v>54377.5</v>
      </c>
      <c r="U395" s="267">
        <v>49030.6</v>
      </c>
      <c r="V395" s="267">
        <v>4659.2</v>
      </c>
      <c r="W395" s="269" t="s">
        <v>218</v>
      </c>
      <c r="X395" s="269" t="s">
        <v>218</v>
      </c>
      <c r="Y395" s="269" t="s">
        <v>218</v>
      </c>
      <c r="Z395" s="281" t="s">
        <v>218</v>
      </c>
      <c r="AA395" s="269" t="s">
        <v>218</v>
      </c>
      <c r="AB395" s="269" t="s">
        <v>218</v>
      </c>
      <c r="AC395" s="269" t="s">
        <v>219</v>
      </c>
      <c r="AD395" s="269" t="s">
        <v>218</v>
      </c>
      <c r="AE395" s="269" t="s">
        <v>219</v>
      </c>
      <c r="AF395" s="269">
        <v>21</v>
      </c>
      <c r="AG395" s="277">
        <v>7</v>
      </c>
      <c r="AH395" s="277"/>
      <c r="AI395" s="277">
        <v>1</v>
      </c>
      <c r="AJ395" s="277">
        <v>1</v>
      </c>
    </row>
    <row r="396" spans="1:36" s="81" customFormat="1" ht="32.25" customHeight="1" x14ac:dyDescent="0.3">
      <c r="A396" s="80">
        <v>389</v>
      </c>
      <c r="B396" s="84" t="s">
        <v>196</v>
      </c>
      <c r="D396" s="240" t="s">
        <v>1368</v>
      </c>
      <c r="E396" s="239">
        <v>23</v>
      </c>
      <c r="F396" s="239">
        <v>2</v>
      </c>
      <c r="G396" s="277" t="s">
        <v>245</v>
      </c>
      <c r="H396" s="84" t="s">
        <v>1081</v>
      </c>
      <c r="I396" s="239" t="s">
        <v>886</v>
      </c>
      <c r="J396" s="239"/>
      <c r="K396" s="118" t="s">
        <v>917</v>
      </c>
      <c r="L396" s="239"/>
      <c r="M396" s="239">
        <v>1968</v>
      </c>
      <c r="N396" s="239" t="s">
        <v>889</v>
      </c>
      <c r="O396" s="239">
        <v>5</v>
      </c>
      <c r="P396" s="239">
        <v>0</v>
      </c>
      <c r="Q396" s="239">
        <v>7</v>
      </c>
      <c r="R396" s="239">
        <v>139</v>
      </c>
      <c r="S396" s="266">
        <f t="shared" si="10"/>
        <v>6877.41</v>
      </c>
      <c r="T396" s="267">
        <v>6877.41</v>
      </c>
      <c r="U396" s="267">
        <v>6863.7</v>
      </c>
      <c r="V396" s="267">
        <v>0</v>
      </c>
      <c r="W396" s="268" t="s">
        <v>218</v>
      </c>
      <c r="X396" s="268" t="s">
        <v>218</v>
      </c>
      <c r="Y396" s="269" t="s">
        <v>218</v>
      </c>
      <c r="Z396" s="270" t="s">
        <v>218</v>
      </c>
      <c r="AA396" s="268" t="s">
        <v>218</v>
      </c>
      <c r="AB396" s="268" t="s">
        <v>218</v>
      </c>
      <c r="AC396" s="269" t="s">
        <v>219</v>
      </c>
      <c r="AD396" s="269" t="s">
        <v>218</v>
      </c>
      <c r="AE396" s="269" t="s">
        <v>219</v>
      </c>
      <c r="AF396" s="268">
        <v>0</v>
      </c>
      <c r="AG396" s="239">
        <v>1</v>
      </c>
      <c r="AH396" s="239"/>
      <c r="AI396" s="239">
        <v>1</v>
      </c>
      <c r="AJ396" s="239">
        <v>1</v>
      </c>
    </row>
    <row r="397" spans="1:36" s="81" customFormat="1" ht="32.25" customHeight="1" x14ac:dyDescent="0.3">
      <c r="A397" s="5">
        <v>390</v>
      </c>
      <c r="B397" s="84" t="s">
        <v>196</v>
      </c>
      <c r="D397" s="240" t="s">
        <v>1367</v>
      </c>
      <c r="E397" s="239">
        <v>23</v>
      </c>
      <c r="F397" s="239">
        <v>3</v>
      </c>
      <c r="G397" s="277" t="s">
        <v>245</v>
      </c>
      <c r="H397" s="84" t="s">
        <v>1082</v>
      </c>
      <c r="I397" s="239" t="s">
        <v>247</v>
      </c>
      <c r="J397" s="239"/>
      <c r="K397" s="118" t="s">
        <v>917</v>
      </c>
      <c r="L397" s="239"/>
      <c r="M397" s="239">
        <v>1968</v>
      </c>
      <c r="N397" s="239" t="s">
        <v>889</v>
      </c>
      <c r="O397" s="239">
        <v>5</v>
      </c>
      <c r="P397" s="239">
        <v>0</v>
      </c>
      <c r="Q397" s="239">
        <v>7</v>
      </c>
      <c r="R397" s="239">
        <v>139</v>
      </c>
      <c r="S397" s="266">
        <f t="shared" si="10"/>
        <v>6949.38</v>
      </c>
      <c r="T397" s="267">
        <v>6949.38</v>
      </c>
      <c r="U397" s="267">
        <v>6888.17</v>
      </c>
      <c r="V397" s="267">
        <v>0</v>
      </c>
      <c r="W397" s="268" t="s">
        <v>218</v>
      </c>
      <c r="X397" s="268" t="s">
        <v>218</v>
      </c>
      <c r="Y397" s="269" t="s">
        <v>218</v>
      </c>
      <c r="Z397" s="270" t="s">
        <v>218</v>
      </c>
      <c r="AA397" s="268" t="s">
        <v>218</v>
      </c>
      <c r="AB397" s="268" t="s">
        <v>218</v>
      </c>
      <c r="AC397" s="269" t="s">
        <v>219</v>
      </c>
      <c r="AD397" s="269" t="s">
        <v>218</v>
      </c>
      <c r="AE397" s="269" t="s">
        <v>219</v>
      </c>
      <c r="AF397" s="268">
        <v>0</v>
      </c>
      <c r="AG397" s="239">
        <v>1</v>
      </c>
      <c r="AH397" s="239"/>
      <c r="AI397" s="239">
        <v>1</v>
      </c>
      <c r="AJ397" s="239">
        <v>1</v>
      </c>
    </row>
    <row r="398" spans="1:36" s="81" customFormat="1" ht="32.25" customHeight="1" x14ac:dyDescent="0.3">
      <c r="A398" s="80">
        <v>391</v>
      </c>
      <c r="B398" s="84" t="s">
        <v>196</v>
      </c>
      <c r="D398" s="240" t="s">
        <v>1367</v>
      </c>
      <c r="E398" s="239">
        <v>27</v>
      </c>
      <c r="F398" s="239">
        <v>3</v>
      </c>
      <c r="G398" s="277" t="s">
        <v>245</v>
      </c>
      <c r="H398" s="84" t="s">
        <v>1083</v>
      </c>
      <c r="I398" s="239" t="s">
        <v>886</v>
      </c>
      <c r="J398" s="239" t="s">
        <v>216</v>
      </c>
      <c r="K398" s="118" t="s">
        <v>923</v>
      </c>
      <c r="L398" s="239"/>
      <c r="M398" s="239">
        <v>1968</v>
      </c>
      <c r="N398" s="239" t="s">
        <v>889</v>
      </c>
      <c r="O398" s="239">
        <v>5</v>
      </c>
      <c r="P398" s="239">
        <v>0</v>
      </c>
      <c r="Q398" s="239">
        <v>7</v>
      </c>
      <c r="R398" s="239">
        <v>160</v>
      </c>
      <c r="S398" s="266">
        <f t="shared" si="10"/>
        <v>7014.38</v>
      </c>
      <c r="T398" s="267">
        <v>7014.38</v>
      </c>
      <c r="U398" s="267">
        <v>7014.38</v>
      </c>
      <c r="V398" s="267">
        <v>0</v>
      </c>
      <c r="W398" s="268" t="s">
        <v>218</v>
      </c>
      <c r="X398" s="268" t="s">
        <v>218</v>
      </c>
      <c r="Y398" s="269" t="s">
        <v>218</v>
      </c>
      <c r="Z398" s="270" t="s">
        <v>218</v>
      </c>
      <c r="AA398" s="268" t="s">
        <v>218</v>
      </c>
      <c r="AB398" s="268" t="s">
        <v>218</v>
      </c>
      <c r="AC398" s="269" t="s">
        <v>219</v>
      </c>
      <c r="AD398" s="269" t="s">
        <v>218</v>
      </c>
      <c r="AE398" s="269" t="s">
        <v>219</v>
      </c>
      <c r="AF398" s="268">
        <v>0</v>
      </c>
      <c r="AG398" s="239">
        <v>1</v>
      </c>
      <c r="AH398" s="239"/>
      <c r="AI398" s="239">
        <v>1</v>
      </c>
      <c r="AJ398" s="239">
        <v>1</v>
      </c>
    </row>
    <row r="399" spans="1:36" s="81" customFormat="1" ht="32.25" customHeight="1" x14ac:dyDescent="0.3">
      <c r="A399" s="5">
        <v>392</v>
      </c>
      <c r="B399" s="84" t="s">
        <v>196</v>
      </c>
      <c r="D399" s="240" t="s">
        <v>1367</v>
      </c>
      <c r="E399" s="239">
        <v>7</v>
      </c>
      <c r="F399" s="239"/>
      <c r="G399" s="277" t="s">
        <v>245</v>
      </c>
      <c r="H399" s="84" t="s">
        <v>1084</v>
      </c>
      <c r="I399" s="239" t="s">
        <v>247</v>
      </c>
      <c r="J399" s="239"/>
      <c r="K399" s="118" t="s">
        <v>920</v>
      </c>
      <c r="L399" s="239"/>
      <c r="M399" s="239">
        <v>1964</v>
      </c>
      <c r="N399" s="239" t="s">
        <v>889</v>
      </c>
      <c r="O399" s="239">
        <v>5</v>
      </c>
      <c r="P399" s="239">
        <v>0</v>
      </c>
      <c r="Q399" s="239">
        <v>6</v>
      </c>
      <c r="R399" s="239">
        <v>90</v>
      </c>
      <c r="S399" s="266">
        <f t="shared" si="10"/>
        <v>4138.3</v>
      </c>
      <c r="T399" s="267">
        <v>4138.3</v>
      </c>
      <c r="U399" s="267">
        <v>4080.2</v>
      </c>
      <c r="V399" s="267">
        <v>0</v>
      </c>
      <c r="W399" s="268" t="s">
        <v>218</v>
      </c>
      <c r="X399" s="268" t="s">
        <v>218</v>
      </c>
      <c r="Y399" s="269" t="s">
        <v>218</v>
      </c>
      <c r="Z399" s="270" t="s">
        <v>218</v>
      </c>
      <c r="AA399" s="268" t="s">
        <v>218</v>
      </c>
      <c r="AB399" s="268" t="s">
        <v>218</v>
      </c>
      <c r="AC399" s="269" t="s">
        <v>219</v>
      </c>
      <c r="AD399" s="269" t="s">
        <v>218</v>
      </c>
      <c r="AE399" s="269" t="s">
        <v>219</v>
      </c>
      <c r="AF399" s="268">
        <v>0</v>
      </c>
      <c r="AG399" s="239">
        <v>1</v>
      </c>
      <c r="AH399" s="239"/>
      <c r="AI399" s="239">
        <v>1</v>
      </c>
      <c r="AJ399" s="239">
        <v>1</v>
      </c>
    </row>
    <row r="400" spans="1:36" s="81" customFormat="1" ht="32.25" customHeight="1" x14ac:dyDescent="0.3">
      <c r="A400" s="80">
        <v>393</v>
      </c>
      <c r="B400" s="84" t="s">
        <v>196</v>
      </c>
      <c r="D400" s="240" t="s">
        <v>1367</v>
      </c>
      <c r="E400" s="239">
        <v>9</v>
      </c>
      <c r="F400" s="239"/>
      <c r="G400" s="277" t="s">
        <v>245</v>
      </c>
      <c r="H400" s="84" t="s">
        <v>1085</v>
      </c>
      <c r="I400" s="239" t="s">
        <v>247</v>
      </c>
      <c r="J400" s="239"/>
      <c r="K400" s="118" t="s">
        <v>920</v>
      </c>
      <c r="L400" s="239"/>
      <c r="M400" s="239">
        <v>1964</v>
      </c>
      <c r="N400" s="239" t="s">
        <v>889</v>
      </c>
      <c r="O400" s="239">
        <v>5</v>
      </c>
      <c r="P400" s="239">
        <v>0</v>
      </c>
      <c r="Q400" s="239">
        <v>6</v>
      </c>
      <c r="R400" s="239">
        <v>90</v>
      </c>
      <c r="S400" s="266">
        <f t="shared" si="10"/>
        <v>4186</v>
      </c>
      <c r="T400" s="267">
        <v>4186</v>
      </c>
      <c r="U400" s="267">
        <v>4085.1</v>
      </c>
      <c r="V400" s="267">
        <v>0</v>
      </c>
      <c r="W400" s="268" t="s">
        <v>218</v>
      </c>
      <c r="X400" s="268" t="s">
        <v>218</v>
      </c>
      <c r="Y400" s="269" t="s">
        <v>218</v>
      </c>
      <c r="Z400" s="270" t="s">
        <v>218</v>
      </c>
      <c r="AA400" s="268" t="s">
        <v>218</v>
      </c>
      <c r="AB400" s="268" t="s">
        <v>218</v>
      </c>
      <c r="AC400" s="269" t="s">
        <v>219</v>
      </c>
      <c r="AD400" s="269" t="s">
        <v>218</v>
      </c>
      <c r="AE400" s="269" t="s">
        <v>219</v>
      </c>
      <c r="AF400" s="268">
        <v>0</v>
      </c>
      <c r="AG400" s="239">
        <v>1</v>
      </c>
      <c r="AH400" s="239"/>
      <c r="AI400" s="239">
        <v>1</v>
      </c>
      <c r="AJ400" s="239">
        <v>1</v>
      </c>
    </row>
    <row r="401" spans="1:36" s="81" customFormat="1" ht="32.25" customHeight="1" x14ac:dyDescent="0.3">
      <c r="A401" s="5">
        <v>394</v>
      </c>
      <c r="B401" s="84" t="s">
        <v>196</v>
      </c>
      <c r="D401" s="240" t="s">
        <v>1369</v>
      </c>
      <c r="E401" s="239">
        <v>10</v>
      </c>
      <c r="F401" s="239"/>
      <c r="G401" s="277" t="s">
        <v>245</v>
      </c>
      <c r="H401" s="84" t="s">
        <v>1086</v>
      </c>
      <c r="I401" s="239" t="s">
        <v>886</v>
      </c>
      <c r="J401" s="239" t="s">
        <v>887</v>
      </c>
      <c r="K401" s="118"/>
      <c r="L401" s="239"/>
      <c r="M401" s="239">
        <v>1932</v>
      </c>
      <c r="N401" s="239" t="s">
        <v>893</v>
      </c>
      <c r="O401" s="239">
        <v>3</v>
      </c>
      <c r="P401" s="239">
        <v>0</v>
      </c>
      <c r="Q401" s="239">
        <v>3</v>
      </c>
      <c r="R401" s="239">
        <v>18</v>
      </c>
      <c r="S401" s="266">
        <f t="shared" si="10"/>
        <v>1093.7</v>
      </c>
      <c r="T401" s="267">
        <v>1093.7</v>
      </c>
      <c r="U401" s="267">
        <v>1093.7</v>
      </c>
      <c r="V401" s="267">
        <v>0</v>
      </c>
      <c r="W401" s="268" t="s">
        <v>218</v>
      </c>
      <c r="X401" s="268" t="s">
        <v>218</v>
      </c>
      <c r="Y401" s="269" t="s">
        <v>219</v>
      </c>
      <c r="Z401" s="270" t="s">
        <v>218</v>
      </c>
      <c r="AA401" s="268" t="s">
        <v>218</v>
      </c>
      <c r="AB401" s="268" t="s">
        <v>218</v>
      </c>
      <c r="AC401" s="269" t="s">
        <v>218</v>
      </c>
      <c r="AD401" s="269" t="s">
        <v>218</v>
      </c>
      <c r="AE401" s="269" t="s">
        <v>219</v>
      </c>
      <c r="AF401" s="268">
        <v>0</v>
      </c>
      <c r="AG401" s="239" t="s">
        <v>444</v>
      </c>
      <c r="AH401" s="239"/>
      <c r="AI401" s="239">
        <v>0</v>
      </c>
      <c r="AJ401" s="239">
        <v>0</v>
      </c>
    </row>
    <row r="402" spans="1:36" s="81" customFormat="1" ht="32.25" customHeight="1" x14ac:dyDescent="0.3">
      <c r="A402" s="80">
        <v>395</v>
      </c>
      <c r="B402" s="84" t="s">
        <v>196</v>
      </c>
      <c r="D402" s="240" t="s">
        <v>1369</v>
      </c>
      <c r="E402" s="239">
        <v>12</v>
      </c>
      <c r="F402" s="239"/>
      <c r="G402" s="277" t="s">
        <v>245</v>
      </c>
      <c r="H402" s="84" t="s">
        <v>1087</v>
      </c>
      <c r="I402" s="239" t="s">
        <v>886</v>
      </c>
      <c r="J402" s="239" t="s">
        <v>887</v>
      </c>
      <c r="K402" s="118"/>
      <c r="L402" s="239"/>
      <c r="M402" s="239">
        <v>1932</v>
      </c>
      <c r="N402" s="239" t="s">
        <v>893</v>
      </c>
      <c r="O402" s="239">
        <v>4</v>
      </c>
      <c r="P402" s="239">
        <v>0</v>
      </c>
      <c r="Q402" s="239">
        <v>3</v>
      </c>
      <c r="R402" s="239">
        <v>24</v>
      </c>
      <c r="S402" s="266">
        <f t="shared" si="10"/>
        <v>1456.9</v>
      </c>
      <c r="T402" s="267">
        <v>1456.9</v>
      </c>
      <c r="U402" s="267">
        <v>1456.9</v>
      </c>
      <c r="V402" s="267">
        <v>0</v>
      </c>
      <c r="W402" s="268" t="s">
        <v>218</v>
      </c>
      <c r="X402" s="268" t="s">
        <v>218</v>
      </c>
      <c r="Y402" s="269" t="s">
        <v>219</v>
      </c>
      <c r="Z402" s="270" t="s">
        <v>218</v>
      </c>
      <c r="AA402" s="268" t="s">
        <v>218</v>
      </c>
      <c r="AB402" s="268" t="s">
        <v>218</v>
      </c>
      <c r="AC402" s="269" t="s">
        <v>218</v>
      </c>
      <c r="AD402" s="269" t="s">
        <v>218</v>
      </c>
      <c r="AE402" s="269" t="s">
        <v>219</v>
      </c>
      <c r="AF402" s="268">
        <v>0</v>
      </c>
      <c r="AG402" s="239" t="s">
        <v>444</v>
      </c>
      <c r="AH402" s="239"/>
      <c r="AI402" s="239">
        <v>0</v>
      </c>
      <c r="AJ402" s="239">
        <v>0</v>
      </c>
    </row>
    <row r="403" spans="1:36" s="81" customFormat="1" ht="32.25" customHeight="1" x14ac:dyDescent="0.3">
      <c r="A403" s="5">
        <v>396</v>
      </c>
      <c r="B403" s="84" t="s">
        <v>196</v>
      </c>
      <c r="D403" s="240" t="s">
        <v>1369</v>
      </c>
      <c r="E403" s="239">
        <v>14</v>
      </c>
      <c r="F403" s="239"/>
      <c r="G403" s="277" t="s">
        <v>245</v>
      </c>
      <c r="H403" s="84" t="s">
        <v>1088</v>
      </c>
      <c r="I403" s="239" t="s">
        <v>886</v>
      </c>
      <c r="J403" s="239" t="s">
        <v>887</v>
      </c>
      <c r="K403" s="118"/>
      <c r="L403" s="239"/>
      <c r="M403" s="239">
        <v>1952</v>
      </c>
      <c r="N403" s="239" t="s">
        <v>893</v>
      </c>
      <c r="O403" s="239">
        <v>3</v>
      </c>
      <c r="P403" s="239">
        <v>0</v>
      </c>
      <c r="Q403" s="239">
        <v>3</v>
      </c>
      <c r="R403" s="239">
        <v>18</v>
      </c>
      <c r="S403" s="266">
        <f t="shared" si="10"/>
        <v>1724.2</v>
      </c>
      <c r="T403" s="267">
        <v>1724.2</v>
      </c>
      <c r="U403" s="267">
        <v>1230.4000000000001</v>
      </c>
      <c r="V403" s="267">
        <v>82</v>
      </c>
      <c r="W403" s="268" t="s">
        <v>218</v>
      </c>
      <c r="X403" s="268" t="s">
        <v>218</v>
      </c>
      <c r="Y403" s="269" t="s">
        <v>219</v>
      </c>
      <c r="Z403" s="270" t="s">
        <v>218</v>
      </c>
      <c r="AA403" s="268" t="s">
        <v>218</v>
      </c>
      <c r="AB403" s="268" t="s">
        <v>218</v>
      </c>
      <c r="AC403" s="269" t="s">
        <v>218</v>
      </c>
      <c r="AD403" s="269" t="s">
        <v>218</v>
      </c>
      <c r="AE403" s="269" t="s">
        <v>219</v>
      </c>
      <c r="AF403" s="268">
        <v>0</v>
      </c>
      <c r="AG403" s="239" t="s">
        <v>444</v>
      </c>
      <c r="AH403" s="239"/>
      <c r="AI403" s="239">
        <v>0</v>
      </c>
      <c r="AJ403" s="239">
        <v>0</v>
      </c>
    </row>
    <row r="404" spans="1:36" s="81" customFormat="1" ht="32.25" customHeight="1" x14ac:dyDescent="0.3">
      <c r="A404" s="80">
        <v>397</v>
      </c>
      <c r="B404" s="84" t="s">
        <v>196</v>
      </c>
      <c r="D404" s="240" t="s">
        <v>1369</v>
      </c>
      <c r="E404" s="239">
        <v>20</v>
      </c>
      <c r="F404" s="239"/>
      <c r="G404" s="277" t="s">
        <v>245</v>
      </c>
      <c r="H404" s="84" t="s">
        <v>1089</v>
      </c>
      <c r="I404" s="239" t="s">
        <v>886</v>
      </c>
      <c r="J404" s="239" t="s">
        <v>887</v>
      </c>
      <c r="K404" s="118"/>
      <c r="L404" s="239"/>
      <c r="M404" s="239">
        <v>1952</v>
      </c>
      <c r="N404" s="239" t="s">
        <v>893</v>
      </c>
      <c r="O404" s="239">
        <v>3</v>
      </c>
      <c r="P404" s="239">
        <v>0</v>
      </c>
      <c r="Q404" s="239">
        <v>2</v>
      </c>
      <c r="R404" s="239">
        <v>12</v>
      </c>
      <c r="S404" s="266">
        <f t="shared" si="10"/>
        <v>718.3</v>
      </c>
      <c r="T404" s="267">
        <v>718.3</v>
      </c>
      <c r="U404" s="267">
        <v>718.3</v>
      </c>
      <c r="V404" s="267">
        <v>0</v>
      </c>
      <c r="W404" s="268" t="s">
        <v>218</v>
      </c>
      <c r="X404" s="268" t="s">
        <v>218</v>
      </c>
      <c r="Y404" s="269" t="s">
        <v>219</v>
      </c>
      <c r="Z404" s="270" t="s">
        <v>218</v>
      </c>
      <c r="AA404" s="268" t="s">
        <v>218</v>
      </c>
      <c r="AB404" s="268" t="s">
        <v>218</v>
      </c>
      <c r="AC404" s="269" t="s">
        <v>218</v>
      </c>
      <c r="AD404" s="269" t="s">
        <v>218</v>
      </c>
      <c r="AE404" s="269" t="s">
        <v>219</v>
      </c>
      <c r="AF404" s="268">
        <v>0</v>
      </c>
      <c r="AG404" s="239" t="s">
        <v>444</v>
      </c>
      <c r="AH404" s="239"/>
      <c r="AI404" s="239">
        <v>0</v>
      </c>
      <c r="AJ404" s="239">
        <v>0</v>
      </c>
    </row>
    <row r="405" spans="1:36" s="81" customFormat="1" ht="32.25" customHeight="1" x14ac:dyDescent="0.3">
      <c r="A405" s="5">
        <v>398</v>
      </c>
      <c r="B405" s="84" t="s">
        <v>196</v>
      </c>
      <c r="D405" s="240" t="s">
        <v>1369</v>
      </c>
      <c r="E405" s="239">
        <v>26</v>
      </c>
      <c r="F405" s="239"/>
      <c r="G405" s="277" t="s">
        <v>245</v>
      </c>
      <c r="H405" s="84" t="s">
        <v>1090</v>
      </c>
      <c r="I405" s="239" t="s">
        <v>886</v>
      </c>
      <c r="J405" s="239" t="s">
        <v>887</v>
      </c>
      <c r="K405" s="118"/>
      <c r="L405" s="239"/>
      <c r="M405" s="239">
        <v>1954</v>
      </c>
      <c r="N405" s="239" t="s">
        <v>893</v>
      </c>
      <c r="O405" s="239">
        <v>3</v>
      </c>
      <c r="P405" s="239">
        <v>0</v>
      </c>
      <c r="Q405" s="239">
        <v>3</v>
      </c>
      <c r="R405" s="239">
        <v>18</v>
      </c>
      <c r="S405" s="266">
        <f t="shared" si="10"/>
        <v>1657.4</v>
      </c>
      <c r="T405" s="267">
        <v>1657.4</v>
      </c>
      <c r="U405" s="267">
        <v>1302.5999999999999</v>
      </c>
      <c r="V405" s="267">
        <v>0</v>
      </c>
      <c r="W405" s="268" t="s">
        <v>218</v>
      </c>
      <c r="X405" s="268" t="s">
        <v>218</v>
      </c>
      <c r="Y405" s="269" t="s">
        <v>219</v>
      </c>
      <c r="Z405" s="270" t="s">
        <v>218</v>
      </c>
      <c r="AA405" s="268" t="s">
        <v>218</v>
      </c>
      <c r="AB405" s="268" t="s">
        <v>218</v>
      </c>
      <c r="AC405" s="269" t="s">
        <v>218</v>
      </c>
      <c r="AD405" s="269" t="s">
        <v>218</v>
      </c>
      <c r="AE405" s="269" t="s">
        <v>219</v>
      </c>
      <c r="AF405" s="268">
        <v>0</v>
      </c>
      <c r="AG405" s="239" t="s">
        <v>444</v>
      </c>
      <c r="AH405" s="239"/>
      <c r="AI405" s="239">
        <v>0</v>
      </c>
      <c r="AJ405" s="239">
        <v>0</v>
      </c>
    </row>
    <row r="406" spans="1:36" s="81" customFormat="1" ht="32.25" customHeight="1" x14ac:dyDescent="0.3">
      <c r="A406" s="80">
        <v>399</v>
      </c>
      <c r="B406" s="84" t="s">
        <v>196</v>
      </c>
      <c r="D406" s="240" t="s">
        <v>1369</v>
      </c>
      <c r="E406" s="239">
        <v>30</v>
      </c>
      <c r="F406" s="239"/>
      <c r="G406" s="277" t="s">
        <v>245</v>
      </c>
      <c r="H406" s="84" t="s">
        <v>1091</v>
      </c>
      <c r="I406" s="239" t="s">
        <v>886</v>
      </c>
      <c r="J406" s="239" t="s">
        <v>887</v>
      </c>
      <c r="K406" s="118"/>
      <c r="L406" s="239"/>
      <c r="M406" s="239">
        <v>1964</v>
      </c>
      <c r="N406" s="239" t="s">
        <v>889</v>
      </c>
      <c r="O406" s="239">
        <v>5</v>
      </c>
      <c r="P406" s="239">
        <v>0</v>
      </c>
      <c r="Q406" s="239">
        <v>4</v>
      </c>
      <c r="R406" s="239">
        <v>80</v>
      </c>
      <c r="S406" s="266">
        <f t="shared" si="10"/>
        <v>3564.1</v>
      </c>
      <c r="T406" s="267">
        <v>3564.1</v>
      </c>
      <c r="U406" s="267">
        <v>3518.8</v>
      </c>
      <c r="V406" s="267">
        <v>0</v>
      </c>
      <c r="W406" s="268" t="s">
        <v>218</v>
      </c>
      <c r="X406" s="268" t="s">
        <v>218</v>
      </c>
      <c r="Y406" s="269" t="s">
        <v>218</v>
      </c>
      <c r="Z406" s="270" t="s">
        <v>218</v>
      </c>
      <c r="AA406" s="268" t="s">
        <v>218</v>
      </c>
      <c r="AB406" s="268" t="s">
        <v>218</v>
      </c>
      <c r="AC406" s="269" t="s">
        <v>219</v>
      </c>
      <c r="AD406" s="269" t="s">
        <v>218</v>
      </c>
      <c r="AE406" s="269" t="s">
        <v>219</v>
      </c>
      <c r="AF406" s="268">
        <v>0</v>
      </c>
      <c r="AG406" s="239" t="s">
        <v>444</v>
      </c>
      <c r="AH406" s="239"/>
      <c r="AI406" s="239">
        <v>0</v>
      </c>
      <c r="AJ406" s="239">
        <v>0</v>
      </c>
    </row>
    <row r="407" spans="1:36" s="81" customFormat="1" ht="32.25" customHeight="1" x14ac:dyDescent="0.3">
      <c r="A407" s="5">
        <v>400</v>
      </c>
      <c r="B407" s="84" t="s">
        <v>196</v>
      </c>
      <c r="D407" s="240" t="s">
        <v>1369</v>
      </c>
      <c r="E407" s="239">
        <v>16</v>
      </c>
      <c r="F407" s="239"/>
      <c r="G407" s="277" t="s">
        <v>245</v>
      </c>
      <c r="H407" s="84" t="s">
        <v>1092</v>
      </c>
      <c r="I407" s="239" t="s">
        <v>886</v>
      </c>
      <c r="J407" s="239" t="s">
        <v>887</v>
      </c>
      <c r="K407" s="118"/>
      <c r="L407" s="239"/>
      <c r="M407" s="239">
        <v>1973</v>
      </c>
      <c r="N407" s="239" t="s">
        <v>893</v>
      </c>
      <c r="O407" s="239">
        <v>2</v>
      </c>
      <c r="P407" s="239">
        <v>0</v>
      </c>
      <c r="Q407" s="239">
        <v>2</v>
      </c>
      <c r="R407" s="239">
        <v>3</v>
      </c>
      <c r="S407" s="266">
        <f t="shared" si="10"/>
        <v>708.2</v>
      </c>
      <c r="T407" s="267">
        <v>708.2</v>
      </c>
      <c r="U407" s="267">
        <v>639.70000000000005</v>
      </c>
      <c r="V407" s="267">
        <v>0</v>
      </c>
      <c r="W407" s="268" t="s">
        <v>218</v>
      </c>
      <c r="X407" s="268" t="s">
        <v>218</v>
      </c>
      <c r="Y407" s="269" t="s">
        <v>219</v>
      </c>
      <c r="Z407" s="270" t="s">
        <v>218</v>
      </c>
      <c r="AA407" s="268" t="s">
        <v>218</v>
      </c>
      <c r="AB407" s="268" t="s">
        <v>218</v>
      </c>
      <c r="AC407" s="269" t="s">
        <v>218</v>
      </c>
      <c r="AD407" s="269" t="s">
        <v>218</v>
      </c>
      <c r="AE407" s="269" t="s">
        <v>219</v>
      </c>
      <c r="AF407" s="268">
        <v>0</v>
      </c>
      <c r="AG407" s="239" t="s">
        <v>444</v>
      </c>
      <c r="AH407" s="239"/>
      <c r="AI407" s="239">
        <v>0</v>
      </c>
      <c r="AJ407" s="239">
        <v>0</v>
      </c>
    </row>
    <row r="408" spans="1:36" s="81" customFormat="1" ht="32.25" customHeight="1" x14ac:dyDescent="0.3">
      <c r="A408" s="80">
        <v>401</v>
      </c>
      <c r="B408" s="84" t="s">
        <v>196</v>
      </c>
      <c r="D408" s="240" t="s">
        <v>1370</v>
      </c>
      <c r="E408" s="239">
        <v>110</v>
      </c>
      <c r="F408" s="239"/>
      <c r="G408" s="277" t="s">
        <v>245</v>
      </c>
      <c r="H408" s="84" t="s">
        <v>1093</v>
      </c>
      <c r="I408" s="239" t="s">
        <v>886</v>
      </c>
      <c r="J408" s="239" t="s">
        <v>318</v>
      </c>
      <c r="K408" s="118">
        <v>127</v>
      </c>
      <c r="L408" s="239"/>
      <c r="M408" s="282">
        <v>1981</v>
      </c>
      <c r="N408" s="239" t="s">
        <v>893</v>
      </c>
      <c r="O408" s="282">
        <v>5</v>
      </c>
      <c r="P408" s="239">
        <v>0</v>
      </c>
      <c r="Q408" s="282">
        <v>4</v>
      </c>
      <c r="R408" s="239">
        <v>106</v>
      </c>
      <c r="S408" s="266">
        <f t="shared" ref="S408:S471" si="11">T408</f>
        <v>5695.8</v>
      </c>
      <c r="T408" s="267">
        <v>5695.8</v>
      </c>
      <c r="U408" s="267">
        <v>5573.3</v>
      </c>
      <c r="V408" s="267">
        <v>0</v>
      </c>
      <c r="W408" s="268" t="s">
        <v>218</v>
      </c>
      <c r="X408" s="268" t="s">
        <v>218</v>
      </c>
      <c r="Y408" s="269" t="s">
        <v>218</v>
      </c>
      <c r="Z408" s="270" t="s">
        <v>218</v>
      </c>
      <c r="AA408" s="268" t="s">
        <v>218</v>
      </c>
      <c r="AB408" s="268" t="s">
        <v>218</v>
      </c>
      <c r="AC408" s="269" t="s">
        <v>219</v>
      </c>
      <c r="AD408" s="269" t="s">
        <v>218</v>
      </c>
      <c r="AE408" s="269" t="s">
        <v>219</v>
      </c>
      <c r="AF408" s="268">
        <v>0</v>
      </c>
      <c r="AG408" s="239">
        <v>1</v>
      </c>
      <c r="AH408" s="239"/>
      <c r="AI408" s="239">
        <v>0</v>
      </c>
      <c r="AJ408" s="239">
        <v>1</v>
      </c>
    </row>
    <row r="409" spans="1:36" s="81" customFormat="1" ht="32.25" customHeight="1" x14ac:dyDescent="0.3">
      <c r="A409" s="5">
        <v>402</v>
      </c>
      <c r="B409" s="84" t="s">
        <v>196</v>
      </c>
      <c r="D409" s="240" t="s">
        <v>1370</v>
      </c>
      <c r="E409" s="239">
        <v>116</v>
      </c>
      <c r="F409" s="239"/>
      <c r="G409" s="277" t="s">
        <v>245</v>
      </c>
      <c r="H409" s="84" t="s">
        <v>1094</v>
      </c>
      <c r="I409" s="239" t="s">
        <v>886</v>
      </c>
      <c r="J409" s="239" t="s">
        <v>887</v>
      </c>
      <c r="K409" s="118"/>
      <c r="L409" s="239"/>
      <c r="M409" s="282">
        <v>1960</v>
      </c>
      <c r="N409" s="239" t="s">
        <v>893</v>
      </c>
      <c r="O409" s="282">
        <v>4</v>
      </c>
      <c r="P409" s="239">
        <v>0</v>
      </c>
      <c r="Q409" s="282">
        <v>3</v>
      </c>
      <c r="R409" s="239">
        <v>39</v>
      </c>
      <c r="S409" s="266">
        <f t="shared" si="11"/>
        <v>2253.1</v>
      </c>
      <c r="T409" s="267">
        <v>2253.1</v>
      </c>
      <c r="U409" s="267">
        <v>2021.6</v>
      </c>
      <c r="V409" s="267">
        <v>219.4</v>
      </c>
      <c r="W409" s="268" t="s">
        <v>218</v>
      </c>
      <c r="X409" s="268" t="s">
        <v>218</v>
      </c>
      <c r="Y409" s="269" t="s">
        <v>219</v>
      </c>
      <c r="Z409" s="270" t="s">
        <v>218</v>
      </c>
      <c r="AA409" s="268" t="s">
        <v>218</v>
      </c>
      <c r="AB409" s="268" t="s">
        <v>218</v>
      </c>
      <c r="AC409" s="269" t="s">
        <v>218</v>
      </c>
      <c r="AD409" s="269" t="s">
        <v>218</v>
      </c>
      <c r="AE409" s="269" t="s">
        <v>219</v>
      </c>
      <c r="AF409" s="268">
        <v>0</v>
      </c>
      <c r="AG409" s="239">
        <v>1</v>
      </c>
      <c r="AH409" s="239"/>
      <c r="AI409" s="239">
        <v>0</v>
      </c>
      <c r="AJ409" s="239">
        <v>1</v>
      </c>
    </row>
    <row r="410" spans="1:36" s="81" customFormat="1" ht="32.25" customHeight="1" x14ac:dyDescent="0.3">
      <c r="A410" s="80">
        <v>403</v>
      </c>
      <c r="B410" s="84" t="s">
        <v>196</v>
      </c>
      <c r="D410" s="240" t="s">
        <v>1370</v>
      </c>
      <c r="E410" s="239">
        <v>118</v>
      </c>
      <c r="F410" s="239"/>
      <c r="G410" s="277" t="s">
        <v>245</v>
      </c>
      <c r="H410" s="84" t="s">
        <v>1095</v>
      </c>
      <c r="I410" s="239" t="s">
        <v>886</v>
      </c>
      <c r="J410" s="239" t="s">
        <v>1360</v>
      </c>
      <c r="K410" s="118"/>
      <c r="L410" s="239"/>
      <c r="M410" s="282">
        <v>1960</v>
      </c>
      <c r="N410" s="239" t="s">
        <v>893</v>
      </c>
      <c r="O410" s="282">
        <v>4</v>
      </c>
      <c r="P410" s="239">
        <v>0</v>
      </c>
      <c r="Q410" s="282">
        <v>3</v>
      </c>
      <c r="R410" s="239">
        <v>36</v>
      </c>
      <c r="S410" s="266">
        <f t="shared" si="11"/>
        <v>2201.6999999999998</v>
      </c>
      <c r="T410" s="267">
        <v>2201.6999999999998</v>
      </c>
      <c r="U410" s="267">
        <v>1936.9</v>
      </c>
      <c r="V410" s="267">
        <v>0</v>
      </c>
      <c r="W410" s="268" t="s">
        <v>218</v>
      </c>
      <c r="X410" s="268" t="s">
        <v>218</v>
      </c>
      <c r="Y410" s="269" t="s">
        <v>219</v>
      </c>
      <c r="Z410" s="270" t="s">
        <v>218</v>
      </c>
      <c r="AA410" s="268" t="s">
        <v>218</v>
      </c>
      <c r="AB410" s="268" t="s">
        <v>218</v>
      </c>
      <c r="AC410" s="269" t="s">
        <v>218</v>
      </c>
      <c r="AD410" s="269" t="s">
        <v>218</v>
      </c>
      <c r="AE410" s="269" t="s">
        <v>219</v>
      </c>
      <c r="AF410" s="268">
        <v>0</v>
      </c>
      <c r="AG410" s="239">
        <v>1</v>
      </c>
      <c r="AH410" s="239"/>
      <c r="AI410" s="239">
        <v>0</v>
      </c>
      <c r="AJ410" s="239">
        <v>0</v>
      </c>
    </row>
    <row r="411" spans="1:36" s="81" customFormat="1" ht="32.25" customHeight="1" x14ac:dyDescent="0.3">
      <c r="A411" s="5">
        <v>404</v>
      </c>
      <c r="B411" s="84" t="s">
        <v>196</v>
      </c>
      <c r="D411" s="240" t="s">
        <v>1370</v>
      </c>
      <c r="E411" s="239">
        <v>12</v>
      </c>
      <c r="F411" s="239"/>
      <c r="G411" s="277" t="s">
        <v>245</v>
      </c>
      <c r="H411" s="84" t="s">
        <v>1096</v>
      </c>
      <c r="I411" s="239" t="s">
        <v>886</v>
      </c>
      <c r="J411" s="239" t="s">
        <v>887</v>
      </c>
      <c r="K411" s="118"/>
      <c r="L411" s="239"/>
      <c r="M411" s="239">
        <v>1956</v>
      </c>
      <c r="N411" s="239" t="s">
        <v>893</v>
      </c>
      <c r="O411" s="239">
        <v>4</v>
      </c>
      <c r="P411" s="239">
        <v>0</v>
      </c>
      <c r="Q411" s="239">
        <v>2</v>
      </c>
      <c r="R411" s="239">
        <v>22</v>
      </c>
      <c r="S411" s="266">
        <f t="shared" si="11"/>
        <v>1794.3</v>
      </c>
      <c r="T411" s="267">
        <v>1794.3</v>
      </c>
      <c r="U411" s="267">
        <v>1399.5</v>
      </c>
      <c r="V411" s="267">
        <v>328.1</v>
      </c>
      <c r="W411" s="268" t="s">
        <v>218</v>
      </c>
      <c r="X411" s="268" t="s">
        <v>218</v>
      </c>
      <c r="Y411" s="269" t="s">
        <v>219</v>
      </c>
      <c r="Z411" s="270" t="s">
        <v>218</v>
      </c>
      <c r="AA411" s="268" t="s">
        <v>218</v>
      </c>
      <c r="AB411" s="268" t="s">
        <v>218</v>
      </c>
      <c r="AC411" s="269" t="s">
        <v>218</v>
      </c>
      <c r="AD411" s="269" t="s">
        <v>218</v>
      </c>
      <c r="AE411" s="269" t="s">
        <v>219</v>
      </c>
      <c r="AF411" s="268">
        <v>0</v>
      </c>
      <c r="AG411" s="239">
        <v>1</v>
      </c>
      <c r="AH411" s="239"/>
      <c r="AI411" s="239">
        <v>0</v>
      </c>
      <c r="AJ411" s="239">
        <v>0</v>
      </c>
    </row>
    <row r="412" spans="1:36" s="81" customFormat="1" ht="32.25" customHeight="1" x14ac:dyDescent="0.3">
      <c r="A412" s="80">
        <v>405</v>
      </c>
      <c r="B412" s="84" t="s">
        <v>196</v>
      </c>
      <c r="D412" s="240" t="s">
        <v>1370</v>
      </c>
      <c r="E412" s="239">
        <v>120</v>
      </c>
      <c r="F412" s="239"/>
      <c r="G412" s="277" t="s">
        <v>245</v>
      </c>
      <c r="H412" s="84" t="s">
        <v>1097</v>
      </c>
      <c r="I412" s="239" t="s">
        <v>886</v>
      </c>
      <c r="J412" s="239" t="s">
        <v>924</v>
      </c>
      <c r="K412" s="118"/>
      <c r="L412" s="239"/>
      <c r="M412" s="282">
        <v>1949</v>
      </c>
      <c r="N412" s="239" t="s">
        <v>893</v>
      </c>
      <c r="O412" s="282">
        <v>2</v>
      </c>
      <c r="P412" s="239">
        <v>0</v>
      </c>
      <c r="Q412" s="282">
        <v>1</v>
      </c>
      <c r="R412" s="239">
        <v>8</v>
      </c>
      <c r="S412" s="266">
        <f t="shared" si="11"/>
        <v>572.29999999999995</v>
      </c>
      <c r="T412" s="267">
        <v>572.29999999999995</v>
      </c>
      <c r="U412" s="267">
        <v>443.1</v>
      </c>
      <c r="V412" s="267">
        <v>0</v>
      </c>
      <c r="W412" s="268" t="s">
        <v>218</v>
      </c>
      <c r="X412" s="268" t="s">
        <v>218</v>
      </c>
      <c r="Y412" s="269" t="s">
        <v>219</v>
      </c>
      <c r="Z412" s="270" t="s">
        <v>218</v>
      </c>
      <c r="AA412" s="268" t="s">
        <v>218</v>
      </c>
      <c r="AB412" s="268" t="s">
        <v>218</v>
      </c>
      <c r="AC412" s="269" t="s">
        <v>218</v>
      </c>
      <c r="AD412" s="269" t="s">
        <v>218</v>
      </c>
      <c r="AE412" s="269" t="s">
        <v>219</v>
      </c>
      <c r="AF412" s="268">
        <v>0</v>
      </c>
      <c r="AG412" s="239">
        <v>1</v>
      </c>
      <c r="AH412" s="239"/>
      <c r="AI412" s="239">
        <v>0</v>
      </c>
      <c r="AJ412" s="239">
        <v>1</v>
      </c>
    </row>
    <row r="413" spans="1:36" s="81" customFormat="1" ht="32.25" customHeight="1" x14ac:dyDescent="0.3">
      <c r="A413" s="5">
        <v>406</v>
      </c>
      <c r="B413" s="84" t="s">
        <v>196</v>
      </c>
      <c r="D413" s="240" t="s">
        <v>1370</v>
      </c>
      <c r="E413" s="239">
        <v>122</v>
      </c>
      <c r="F413" s="239"/>
      <c r="G413" s="277" t="s">
        <v>245</v>
      </c>
      <c r="H413" s="84" t="s">
        <v>1098</v>
      </c>
      <c r="I413" s="239" t="s">
        <v>886</v>
      </c>
      <c r="J413" s="239" t="s">
        <v>887</v>
      </c>
      <c r="K413" s="118"/>
      <c r="L413" s="239"/>
      <c r="M413" s="282">
        <v>1958</v>
      </c>
      <c r="N413" s="239" t="s">
        <v>893</v>
      </c>
      <c r="O413" s="282">
        <v>3</v>
      </c>
      <c r="P413" s="239">
        <v>0</v>
      </c>
      <c r="Q413" s="282">
        <v>2</v>
      </c>
      <c r="R413" s="239">
        <v>24</v>
      </c>
      <c r="S413" s="266">
        <f t="shared" si="11"/>
        <v>1192.4000000000001</v>
      </c>
      <c r="T413" s="267">
        <v>1192.4000000000001</v>
      </c>
      <c r="U413" s="267">
        <v>1179.5999999999999</v>
      </c>
      <c r="V413" s="267">
        <v>0</v>
      </c>
      <c r="W413" s="268" t="s">
        <v>218</v>
      </c>
      <c r="X413" s="268" t="s">
        <v>218</v>
      </c>
      <c r="Y413" s="269" t="s">
        <v>219</v>
      </c>
      <c r="Z413" s="270" t="s">
        <v>218</v>
      </c>
      <c r="AA413" s="268" t="s">
        <v>218</v>
      </c>
      <c r="AB413" s="268" t="s">
        <v>218</v>
      </c>
      <c r="AC413" s="269" t="s">
        <v>218</v>
      </c>
      <c r="AD413" s="269" t="s">
        <v>218</v>
      </c>
      <c r="AE413" s="269" t="s">
        <v>219</v>
      </c>
      <c r="AF413" s="268">
        <v>0</v>
      </c>
      <c r="AG413" s="239">
        <v>1</v>
      </c>
      <c r="AH413" s="239"/>
      <c r="AI413" s="239">
        <v>0</v>
      </c>
      <c r="AJ413" s="239">
        <v>1</v>
      </c>
    </row>
    <row r="414" spans="1:36" s="81" customFormat="1" ht="32.25" customHeight="1" x14ac:dyDescent="0.3">
      <c r="A414" s="80">
        <v>407</v>
      </c>
      <c r="B414" s="84" t="s">
        <v>196</v>
      </c>
      <c r="D414" s="240" t="s">
        <v>1370</v>
      </c>
      <c r="E414" s="239">
        <v>124</v>
      </c>
      <c r="F414" s="239"/>
      <c r="G414" s="277" t="s">
        <v>245</v>
      </c>
      <c r="H414" s="84" t="s">
        <v>1099</v>
      </c>
      <c r="I414" s="239" t="s">
        <v>886</v>
      </c>
      <c r="J414" s="239" t="s">
        <v>887</v>
      </c>
      <c r="K414" s="118"/>
      <c r="L414" s="239"/>
      <c r="M414" s="282">
        <v>1958</v>
      </c>
      <c r="N414" s="239" t="s">
        <v>893</v>
      </c>
      <c r="O414" s="282">
        <v>3</v>
      </c>
      <c r="P414" s="239">
        <v>0</v>
      </c>
      <c r="Q414" s="282">
        <v>2</v>
      </c>
      <c r="R414" s="239">
        <v>24</v>
      </c>
      <c r="S414" s="266">
        <f t="shared" si="11"/>
        <v>1212.2</v>
      </c>
      <c r="T414" s="267">
        <v>1212.2</v>
      </c>
      <c r="U414" s="267">
        <v>1179.8</v>
      </c>
      <c r="V414" s="267">
        <v>0</v>
      </c>
      <c r="W414" s="268" t="s">
        <v>218</v>
      </c>
      <c r="X414" s="268" t="s">
        <v>218</v>
      </c>
      <c r="Y414" s="269" t="s">
        <v>219</v>
      </c>
      <c r="Z414" s="270" t="s">
        <v>218</v>
      </c>
      <c r="AA414" s="268" t="s">
        <v>218</v>
      </c>
      <c r="AB414" s="268" t="s">
        <v>218</v>
      </c>
      <c r="AC414" s="269" t="s">
        <v>218</v>
      </c>
      <c r="AD414" s="269" t="s">
        <v>218</v>
      </c>
      <c r="AE414" s="269" t="s">
        <v>219</v>
      </c>
      <c r="AF414" s="268">
        <v>0</v>
      </c>
      <c r="AG414" s="239">
        <v>0</v>
      </c>
      <c r="AH414" s="239"/>
      <c r="AI414" s="239">
        <v>0</v>
      </c>
      <c r="AJ414" s="239">
        <v>1</v>
      </c>
    </row>
    <row r="415" spans="1:36" s="81" customFormat="1" ht="32.25" customHeight="1" x14ac:dyDescent="0.3">
      <c r="A415" s="5">
        <v>408</v>
      </c>
      <c r="B415" s="84" t="s">
        <v>196</v>
      </c>
      <c r="D415" s="240" t="s">
        <v>1370</v>
      </c>
      <c r="E415" s="239">
        <v>128</v>
      </c>
      <c r="F415" s="239"/>
      <c r="G415" s="277" t="s">
        <v>245</v>
      </c>
      <c r="H415" s="84" t="s">
        <v>1100</v>
      </c>
      <c r="I415" s="239" t="s">
        <v>886</v>
      </c>
      <c r="J415" s="239" t="s">
        <v>887</v>
      </c>
      <c r="K415" s="118"/>
      <c r="L415" s="239"/>
      <c r="M415" s="282">
        <v>1958</v>
      </c>
      <c r="N415" s="239" t="s">
        <v>893</v>
      </c>
      <c r="O415" s="282">
        <v>4</v>
      </c>
      <c r="P415" s="239">
        <v>0</v>
      </c>
      <c r="Q415" s="282">
        <v>3</v>
      </c>
      <c r="R415" s="239">
        <v>39</v>
      </c>
      <c r="S415" s="266">
        <f t="shared" si="11"/>
        <v>2259.6</v>
      </c>
      <c r="T415" s="267">
        <v>2259.6</v>
      </c>
      <c r="U415" s="267">
        <v>2025.3</v>
      </c>
      <c r="V415" s="267">
        <v>222.10000000000002</v>
      </c>
      <c r="W415" s="268" t="s">
        <v>218</v>
      </c>
      <c r="X415" s="268" t="s">
        <v>218</v>
      </c>
      <c r="Y415" s="269" t="s">
        <v>219</v>
      </c>
      <c r="Z415" s="270" t="s">
        <v>218</v>
      </c>
      <c r="AA415" s="268" t="s">
        <v>218</v>
      </c>
      <c r="AB415" s="268" t="s">
        <v>218</v>
      </c>
      <c r="AC415" s="269" t="s">
        <v>218</v>
      </c>
      <c r="AD415" s="269" t="s">
        <v>218</v>
      </c>
      <c r="AE415" s="269" t="s">
        <v>219</v>
      </c>
      <c r="AF415" s="268">
        <v>0</v>
      </c>
      <c r="AG415" s="239">
        <v>1</v>
      </c>
      <c r="AH415" s="239"/>
      <c r="AI415" s="239">
        <v>0</v>
      </c>
      <c r="AJ415" s="239">
        <v>1</v>
      </c>
    </row>
    <row r="416" spans="1:36" s="81" customFormat="1" ht="32.25" customHeight="1" x14ac:dyDescent="0.3">
      <c r="A416" s="80">
        <v>409</v>
      </c>
      <c r="B416" s="84" t="s">
        <v>196</v>
      </c>
      <c r="D416" s="240" t="s">
        <v>1370</v>
      </c>
      <c r="E416" s="239">
        <v>132</v>
      </c>
      <c r="F416" s="239"/>
      <c r="G416" s="277" t="s">
        <v>245</v>
      </c>
      <c r="H416" s="84" t="s">
        <v>1101</v>
      </c>
      <c r="I416" s="239" t="s">
        <v>886</v>
      </c>
      <c r="J416" s="239" t="s">
        <v>925</v>
      </c>
      <c r="K416" s="118"/>
      <c r="L416" s="239"/>
      <c r="M416" s="282">
        <v>1949</v>
      </c>
      <c r="N416" s="239" t="s">
        <v>893</v>
      </c>
      <c r="O416" s="282">
        <v>2</v>
      </c>
      <c r="P416" s="239">
        <v>0</v>
      </c>
      <c r="Q416" s="282">
        <v>1</v>
      </c>
      <c r="R416" s="239">
        <v>8</v>
      </c>
      <c r="S416" s="266">
        <f t="shared" si="11"/>
        <v>572.70000000000005</v>
      </c>
      <c r="T416" s="267">
        <v>572.70000000000005</v>
      </c>
      <c r="U416" s="267">
        <v>446.7</v>
      </c>
      <c r="V416" s="267">
        <v>43.5</v>
      </c>
      <c r="W416" s="268" t="s">
        <v>218</v>
      </c>
      <c r="X416" s="268" t="s">
        <v>218</v>
      </c>
      <c r="Y416" s="269" t="s">
        <v>219</v>
      </c>
      <c r="Z416" s="270" t="s">
        <v>218</v>
      </c>
      <c r="AA416" s="268" t="s">
        <v>218</v>
      </c>
      <c r="AB416" s="268" t="s">
        <v>218</v>
      </c>
      <c r="AC416" s="269" t="s">
        <v>218</v>
      </c>
      <c r="AD416" s="269" t="s">
        <v>218</v>
      </c>
      <c r="AE416" s="269" t="s">
        <v>219</v>
      </c>
      <c r="AF416" s="268">
        <v>0</v>
      </c>
      <c r="AG416" s="239">
        <v>1</v>
      </c>
      <c r="AH416" s="239"/>
      <c r="AI416" s="239">
        <v>0</v>
      </c>
      <c r="AJ416" s="239">
        <v>1</v>
      </c>
    </row>
    <row r="417" spans="1:36" s="81" customFormat="1" ht="32.25" customHeight="1" x14ac:dyDescent="0.3">
      <c r="A417" s="5">
        <v>410</v>
      </c>
      <c r="B417" s="84" t="s">
        <v>196</v>
      </c>
      <c r="D417" s="240" t="s">
        <v>1370</v>
      </c>
      <c r="E417" s="239">
        <v>136</v>
      </c>
      <c r="F417" s="239"/>
      <c r="G417" s="277" t="s">
        <v>245</v>
      </c>
      <c r="H417" s="84" t="s">
        <v>1102</v>
      </c>
      <c r="I417" s="239" t="s">
        <v>886</v>
      </c>
      <c r="J417" s="239" t="s">
        <v>887</v>
      </c>
      <c r="K417" s="118"/>
      <c r="L417" s="239"/>
      <c r="M417" s="282">
        <v>1959</v>
      </c>
      <c r="N417" s="239" t="s">
        <v>893</v>
      </c>
      <c r="O417" s="282">
        <v>4</v>
      </c>
      <c r="P417" s="239">
        <v>0</v>
      </c>
      <c r="Q417" s="282">
        <v>3</v>
      </c>
      <c r="R417" s="239">
        <v>44</v>
      </c>
      <c r="S417" s="266">
        <f t="shared" si="11"/>
        <v>2162.6</v>
      </c>
      <c r="T417" s="267">
        <v>2162.6</v>
      </c>
      <c r="U417" s="267">
        <v>2151.3000000000002</v>
      </c>
      <c r="V417" s="267">
        <v>0</v>
      </c>
      <c r="W417" s="268" t="s">
        <v>218</v>
      </c>
      <c r="X417" s="268" t="s">
        <v>218</v>
      </c>
      <c r="Y417" s="269" t="s">
        <v>219</v>
      </c>
      <c r="Z417" s="270" t="s">
        <v>218</v>
      </c>
      <c r="AA417" s="268" t="s">
        <v>218</v>
      </c>
      <c r="AB417" s="268" t="s">
        <v>218</v>
      </c>
      <c r="AC417" s="269" t="s">
        <v>218</v>
      </c>
      <c r="AD417" s="269" t="s">
        <v>218</v>
      </c>
      <c r="AE417" s="269" t="s">
        <v>219</v>
      </c>
      <c r="AF417" s="268">
        <v>0</v>
      </c>
      <c r="AG417" s="239">
        <v>1</v>
      </c>
      <c r="AH417" s="239"/>
      <c r="AI417" s="239">
        <v>0</v>
      </c>
      <c r="AJ417" s="239">
        <v>1</v>
      </c>
    </row>
    <row r="418" spans="1:36" s="81" customFormat="1" ht="32.25" customHeight="1" x14ac:dyDescent="0.3">
      <c r="A418" s="80">
        <v>411</v>
      </c>
      <c r="B418" s="84" t="s">
        <v>196</v>
      </c>
      <c r="D418" s="240" t="s">
        <v>1370</v>
      </c>
      <c r="E418" s="239">
        <v>138</v>
      </c>
      <c r="F418" s="239"/>
      <c r="G418" s="277" t="s">
        <v>245</v>
      </c>
      <c r="H418" s="84" t="s">
        <v>1103</v>
      </c>
      <c r="I418" s="239" t="s">
        <v>886</v>
      </c>
      <c r="J418" s="239" t="s">
        <v>887</v>
      </c>
      <c r="K418" s="118"/>
      <c r="L418" s="239"/>
      <c r="M418" s="282">
        <v>1959</v>
      </c>
      <c r="N418" s="239" t="s">
        <v>893</v>
      </c>
      <c r="O418" s="282">
        <v>3</v>
      </c>
      <c r="P418" s="239">
        <v>0</v>
      </c>
      <c r="Q418" s="282">
        <v>2</v>
      </c>
      <c r="R418" s="239">
        <v>24</v>
      </c>
      <c r="S418" s="266">
        <f t="shared" si="11"/>
        <v>1218.0999999999999</v>
      </c>
      <c r="T418" s="267">
        <v>1218.0999999999999</v>
      </c>
      <c r="U418" s="267">
        <v>1162.9000000000001</v>
      </c>
      <c r="V418" s="267">
        <v>0</v>
      </c>
      <c r="W418" s="268" t="s">
        <v>218</v>
      </c>
      <c r="X418" s="268" t="s">
        <v>218</v>
      </c>
      <c r="Y418" s="269" t="s">
        <v>219</v>
      </c>
      <c r="Z418" s="270" t="s">
        <v>218</v>
      </c>
      <c r="AA418" s="268" t="s">
        <v>218</v>
      </c>
      <c r="AB418" s="268" t="s">
        <v>218</v>
      </c>
      <c r="AC418" s="269" t="s">
        <v>218</v>
      </c>
      <c r="AD418" s="269" t="s">
        <v>218</v>
      </c>
      <c r="AE418" s="269" t="s">
        <v>219</v>
      </c>
      <c r="AF418" s="268">
        <v>0</v>
      </c>
      <c r="AG418" s="239">
        <v>1</v>
      </c>
      <c r="AH418" s="239"/>
      <c r="AI418" s="239">
        <v>0</v>
      </c>
      <c r="AJ418" s="239">
        <v>1</v>
      </c>
    </row>
    <row r="419" spans="1:36" s="81" customFormat="1" ht="32.25" customHeight="1" x14ac:dyDescent="0.3">
      <c r="A419" s="5">
        <v>412</v>
      </c>
      <c r="B419" s="84" t="s">
        <v>196</v>
      </c>
      <c r="D419" s="240" t="s">
        <v>1370</v>
      </c>
      <c r="E419" s="239">
        <v>14</v>
      </c>
      <c r="F419" s="239"/>
      <c r="G419" s="277" t="s">
        <v>245</v>
      </c>
      <c r="H419" s="84" t="s">
        <v>1104</v>
      </c>
      <c r="I419" s="239" t="s">
        <v>886</v>
      </c>
      <c r="J419" s="239" t="s">
        <v>887</v>
      </c>
      <c r="K419" s="118"/>
      <c r="L419" s="239"/>
      <c r="M419" s="239">
        <v>1917</v>
      </c>
      <c r="N419" s="239" t="s">
        <v>893</v>
      </c>
      <c r="O419" s="239">
        <v>5</v>
      </c>
      <c r="P419" s="239">
        <v>0</v>
      </c>
      <c r="Q419" s="239">
        <v>1</v>
      </c>
      <c r="R419" s="239">
        <v>8</v>
      </c>
      <c r="S419" s="266">
        <f t="shared" si="11"/>
        <v>629</v>
      </c>
      <c r="T419" s="267">
        <v>629</v>
      </c>
      <c r="U419" s="267">
        <v>481.5</v>
      </c>
      <c r="V419" s="267">
        <v>147.5</v>
      </c>
      <c r="W419" s="268" t="s">
        <v>218</v>
      </c>
      <c r="X419" s="268" t="s">
        <v>218</v>
      </c>
      <c r="Y419" s="269" t="s">
        <v>219</v>
      </c>
      <c r="Z419" s="270" t="s">
        <v>218</v>
      </c>
      <c r="AA419" s="268" t="s">
        <v>218</v>
      </c>
      <c r="AB419" s="268" t="s">
        <v>218</v>
      </c>
      <c r="AC419" s="269" t="s">
        <v>218</v>
      </c>
      <c r="AD419" s="269" t="s">
        <v>218</v>
      </c>
      <c r="AE419" s="269" t="s">
        <v>219</v>
      </c>
      <c r="AF419" s="268">
        <v>0</v>
      </c>
      <c r="AG419" s="239">
        <v>1</v>
      </c>
      <c r="AH419" s="239"/>
      <c r="AI419" s="239">
        <v>0</v>
      </c>
      <c r="AJ419" s="239">
        <v>0</v>
      </c>
    </row>
    <row r="420" spans="1:36" s="81" customFormat="1" ht="32.25" customHeight="1" x14ac:dyDescent="0.3">
      <c r="A420" s="80">
        <v>413</v>
      </c>
      <c r="B420" s="84" t="s">
        <v>196</v>
      </c>
      <c r="D420" s="240" t="s">
        <v>1370</v>
      </c>
      <c r="E420" s="239">
        <v>140</v>
      </c>
      <c r="F420" s="239"/>
      <c r="G420" s="277" t="s">
        <v>245</v>
      </c>
      <c r="H420" s="84" t="s">
        <v>1105</v>
      </c>
      <c r="I420" s="239" t="s">
        <v>886</v>
      </c>
      <c r="J420" s="239" t="s">
        <v>887</v>
      </c>
      <c r="K420" s="118"/>
      <c r="L420" s="239"/>
      <c r="M420" s="282">
        <v>1959</v>
      </c>
      <c r="N420" s="239" t="s">
        <v>893</v>
      </c>
      <c r="O420" s="282">
        <v>3</v>
      </c>
      <c r="P420" s="239">
        <v>0</v>
      </c>
      <c r="Q420" s="282">
        <v>2</v>
      </c>
      <c r="R420" s="239">
        <v>34</v>
      </c>
      <c r="S420" s="266">
        <f t="shared" si="11"/>
        <v>1215.8</v>
      </c>
      <c r="T420" s="267">
        <v>1215.8</v>
      </c>
      <c r="U420" s="267">
        <v>1180.7</v>
      </c>
      <c r="V420" s="267">
        <v>0</v>
      </c>
      <c r="W420" s="268" t="s">
        <v>218</v>
      </c>
      <c r="X420" s="268" t="s">
        <v>218</v>
      </c>
      <c r="Y420" s="269" t="s">
        <v>219</v>
      </c>
      <c r="Z420" s="270" t="s">
        <v>218</v>
      </c>
      <c r="AA420" s="268" t="s">
        <v>218</v>
      </c>
      <c r="AB420" s="268" t="s">
        <v>218</v>
      </c>
      <c r="AC420" s="269" t="s">
        <v>218</v>
      </c>
      <c r="AD420" s="269" t="s">
        <v>218</v>
      </c>
      <c r="AE420" s="269" t="s">
        <v>219</v>
      </c>
      <c r="AF420" s="268">
        <v>0</v>
      </c>
      <c r="AG420" s="239">
        <v>1</v>
      </c>
      <c r="AH420" s="239"/>
      <c r="AI420" s="239">
        <v>0</v>
      </c>
      <c r="AJ420" s="239">
        <v>1</v>
      </c>
    </row>
    <row r="421" spans="1:36" s="81" customFormat="1" ht="32.25" customHeight="1" x14ac:dyDescent="0.3">
      <c r="A421" s="5">
        <v>414</v>
      </c>
      <c r="B421" s="84" t="s">
        <v>196</v>
      </c>
      <c r="D421" s="240" t="s">
        <v>1370</v>
      </c>
      <c r="E421" s="239">
        <v>142</v>
      </c>
      <c r="F421" s="239"/>
      <c r="G421" s="277" t="s">
        <v>245</v>
      </c>
      <c r="H421" s="84" t="s">
        <v>1106</v>
      </c>
      <c r="I421" s="239" t="s">
        <v>886</v>
      </c>
      <c r="J421" s="239" t="s">
        <v>887</v>
      </c>
      <c r="K421" s="118" t="s">
        <v>926</v>
      </c>
      <c r="L421" s="239"/>
      <c r="M421" s="282">
        <v>1959</v>
      </c>
      <c r="N421" s="239" t="s">
        <v>893</v>
      </c>
      <c r="O421" s="282">
        <v>4</v>
      </c>
      <c r="P421" s="239">
        <v>0</v>
      </c>
      <c r="Q421" s="282">
        <v>3</v>
      </c>
      <c r="R421" s="239">
        <v>36</v>
      </c>
      <c r="S421" s="266">
        <f t="shared" si="11"/>
        <v>1981.1</v>
      </c>
      <c r="T421" s="267">
        <v>1981.1</v>
      </c>
      <c r="U421" s="267">
        <v>1956.6</v>
      </c>
      <c r="V421" s="267">
        <v>0</v>
      </c>
      <c r="W421" s="268" t="s">
        <v>218</v>
      </c>
      <c r="X421" s="268" t="s">
        <v>218</v>
      </c>
      <c r="Y421" s="269" t="s">
        <v>219</v>
      </c>
      <c r="Z421" s="270" t="s">
        <v>218</v>
      </c>
      <c r="AA421" s="268" t="s">
        <v>218</v>
      </c>
      <c r="AB421" s="268" t="s">
        <v>218</v>
      </c>
      <c r="AC421" s="269" t="s">
        <v>218</v>
      </c>
      <c r="AD421" s="269" t="s">
        <v>218</v>
      </c>
      <c r="AE421" s="269" t="s">
        <v>219</v>
      </c>
      <c r="AF421" s="268">
        <v>0</v>
      </c>
      <c r="AG421" s="239">
        <v>1</v>
      </c>
      <c r="AH421" s="239"/>
      <c r="AI421" s="239">
        <v>0</v>
      </c>
      <c r="AJ421" s="239">
        <v>1</v>
      </c>
    </row>
    <row r="422" spans="1:36" s="81" customFormat="1" ht="32.25" customHeight="1" x14ac:dyDescent="0.3">
      <c r="A422" s="80">
        <v>415</v>
      </c>
      <c r="B422" s="84" t="s">
        <v>196</v>
      </c>
      <c r="D422" s="240" t="s">
        <v>1370</v>
      </c>
      <c r="E422" s="239">
        <v>144</v>
      </c>
      <c r="F422" s="239"/>
      <c r="G422" s="277" t="s">
        <v>245</v>
      </c>
      <c r="H422" s="84" t="s">
        <v>1107</v>
      </c>
      <c r="I422" s="239" t="s">
        <v>886</v>
      </c>
      <c r="J422" s="239" t="s">
        <v>887</v>
      </c>
      <c r="K422" s="118"/>
      <c r="L422" s="239"/>
      <c r="M422" s="282">
        <v>1960</v>
      </c>
      <c r="N422" s="239" t="s">
        <v>893</v>
      </c>
      <c r="O422" s="282">
        <v>5</v>
      </c>
      <c r="P422" s="239">
        <v>0</v>
      </c>
      <c r="Q422" s="282">
        <v>3</v>
      </c>
      <c r="R422" s="239">
        <v>60</v>
      </c>
      <c r="S422" s="266">
        <f t="shared" si="11"/>
        <v>2571.1</v>
      </c>
      <c r="T422" s="267">
        <v>2571.1</v>
      </c>
      <c r="U422" s="267">
        <v>2532.3000000000002</v>
      </c>
      <c r="V422" s="267">
        <v>0</v>
      </c>
      <c r="W422" s="268" t="s">
        <v>218</v>
      </c>
      <c r="X422" s="268" t="s">
        <v>218</v>
      </c>
      <c r="Y422" s="269" t="s">
        <v>219</v>
      </c>
      <c r="Z422" s="270" t="s">
        <v>218</v>
      </c>
      <c r="AA422" s="268" t="s">
        <v>218</v>
      </c>
      <c r="AB422" s="268" t="s">
        <v>218</v>
      </c>
      <c r="AC422" s="269" t="s">
        <v>218</v>
      </c>
      <c r="AD422" s="269" t="s">
        <v>218</v>
      </c>
      <c r="AE422" s="269" t="s">
        <v>219</v>
      </c>
      <c r="AF422" s="268">
        <v>0</v>
      </c>
      <c r="AG422" s="239">
        <v>1</v>
      </c>
      <c r="AH422" s="239"/>
      <c r="AI422" s="239">
        <v>0</v>
      </c>
      <c r="AJ422" s="239">
        <v>1</v>
      </c>
    </row>
    <row r="423" spans="1:36" s="81" customFormat="1" ht="32.25" customHeight="1" x14ac:dyDescent="0.3">
      <c r="A423" s="5">
        <v>416</v>
      </c>
      <c r="B423" s="84" t="s">
        <v>196</v>
      </c>
      <c r="D423" s="240" t="s">
        <v>1370</v>
      </c>
      <c r="E423" s="239">
        <v>16</v>
      </c>
      <c r="F423" s="239"/>
      <c r="G423" s="277" t="s">
        <v>245</v>
      </c>
      <c r="H423" s="84" t="s">
        <v>1108</v>
      </c>
      <c r="I423" s="239" t="s">
        <v>886</v>
      </c>
      <c r="J423" s="239" t="s">
        <v>924</v>
      </c>
      <c r="K423" s="118"/>
      <c r="L423" s="239"/>
      <c r="M423" s="282">
        <v>1953</v>
      </c>
      <c r="N423" s="239" t="s">
        <v>893</v>
      </c>
      <c r="O423" s="282">
        <v>4</v>
      </c>
      <c r="P423" s="239">
        <v>0</v>
      </c>
      <c r="Q423" s="282">
        <v>3</v>
      </c>
      <c r="R423" s="239">
        <v>22</v>
      </c>
      <c r="S423" s="266">
        <f t="shared" si="11"/>
        <v>1990.5</v>
      </c>
      <c r="T423" s="267">
        <v>1990.5</v>
      </c>
      <c r="U423" s="267">
        <v>1556.6</v>
      </c>
      <c r="V423" s="267">
        <v>342.29999999999995</v>
      </c>
      <c r="W423" s="268" t="s">
        <v>218</v>
      </c>
      <c r="X423" s="268" t="s">
        <v>218</v>
      </c>
      <c r="Y423" s="269" t="s">
        <v>219</v>
      </c>
      <c r="Z423" s="270" t="s">
        <v>218</v>
      </c>
      <c r="AA423" s="268" t="s">
        <v>218</v>
      </c>
      <c r="AB423" s="268" t="s">
        <v>218</v>
      </c>
      <c r="AC423" s="269" t="s">
        <v>218</v>
      </c>
      <c r="AD423" s="269" t="s">
        <v>218</v>
      </c>
      <c r="AE423" s="269" t="s">
        <v>219</v>
      </c>
      <c r="AF423" s="268">
        <v>0</v>
      </c>
      <c r="AG423" s="239">
        <v>1</v>
      </c>
      <c r="AH423" s="239"/>
      <c r="AI423" s="239">
        <v>0</v>
      </c>
      <c r="AJ423" s="239">
        <v>0</v>
      </c>
    </row>
    <row r="424" spans="1:36" s="81" customFormat="1" ht="32.25" customHeight="1" x14ac:dyDescent="0.3">
      <c r="A424" s="80">
        <v>417</v>
      </c>
      <c r="B424" s="84" t="s">
        <v>196</v>
      </c>
      <c r="D424" s="240" t="s">
        <v>1370</v>
      </c>
      <c r="E424" s="239">
        <v>18</v>
      </c>
      <c r="F424" s="239"/>
      <c r="G424" s="277" t="s">
        <v>245</v>
      </c>
      <c r="H424" s="84" t="s">
        <v>1109</v>
      </c>
      <c r="I424" s="239" t="s">
        <v>886</v>
      </c>
      <c r="J424" s="239" t="s">
        <v>887</v>
      </c>
      <c r="K424" s="118"/>
      <c r="L424" s="239"/>
      <c r="M424" s="282">
        <v>1950</v>
      </c>
      <c r="N424" s="239" t="s">
        <v>889</v>
      </c>
      <c r="O424" s="282">
        <v>2</v>
      </c>
      <c r="P424" s="239">
        <v>0</v>
      </c>
      <c r="Q424" s="282">
        <v>1</v>
      </c>
      <c r="R424" s="239">
        <v>8</v>
      </c>
      <c r="S424" s="266">
        <f t="shared" si="11"/>
        <v>482.2</v>
      </c>
      <c r="T424" s="267">
        <v>482.2</v>
      </c>
      <c r="U424" s="267">
        <v>381.6</v>
      </c>
      <c r="V424" s="267">
        <v>0</v>
      </c>
      <c r="W424" s="268" t="s">
        <v>218</v>
      </c>
      <c r="X424" s="268" t="s">
        <v>218</v>
      </c>
      <c r="Y424" s="269" t="s">
        <v>219</v>
      </c>
      <c r="Z424" s="270" t="s">
        <v>218</v>
      </c>
      <c r="AA424" s="268" t="s">
        <v>218</v>
      </c>
      <c r="AB424" s="268" t="s">
        <v>218</v>
      </c>
      <c r="AC424" s="269" t="s">
        <v>218</v>
      </c>
      <c r="AD424" s="269" t="s">
        <v>218</v>
      </c>
      <c r="AE424" s="269" t="s">
        <v>219</v>
      </c>
      <c r="AF424" s="268">
        <v>0</v>
      </c>
      <c r="AG424" s="239">
        <v>1</v>
      </c>
      <c r="AH424" s="239"/>
      <c r="AI424" s="239">
        <v>0</v>
      </c>
      <c r="AJ424" s="239">
        <v>0</v>
      </c>
    </row>
    <row r="425" spans="1:36" s="81" customFormat="1" ht="32.25" customHeight="1" x14ac:dyDescent="0.3">
      <c r="A425" s="5">
        <v>418</v>
      </c>
      <c r="B425" s="84" t="s">
        <v>196</v>
      </c>
      <c r="D425" s="240" t="s">
        <v>1370</v>
      </c>
      <c r="E425" s="239">
        <v>22</v>
      </c>
      <c r="F425" s="239"/>
      <c r="G425" s="277" t="s">
        <v>245</v>
      </c>
      <c r="H425" s="84" t="s">
        <v>1110</v>
      </c>
      <c r="I425" s="239" t="s">
        <v>886</v>
      </c>
      <c r="J425" s="239" t="s">
        <v>887</v>
      </c>
      <c r="K425" s="118"/>
      <c r="L425" s="239"/>
      <c r="M425" s="282">
        <v>1950</v>
      </c>
      <c r="N425" s="239" t="s">
        <v>889</v>
      </c>
      <c r="O425" s="282">
        <v>2</v>
      </c>
      <c r="P425" s="239">
        <v>0</v>
      </c>
      <c r="Q425" s="282">
        <v>1</v>
      </c>
      <c r="R425" s="239">
        <v>8</v>
      </c>
      <c r="S425" s="266">
        <f t="shared" si="11"/>
        <v>488.2</v>
      </c>
      <c r="T425" s="267">
        <v>488.2</v>
      </c>
      <c r="U425" s="267">
        <v>389.2</v>
      </c>
      <c r="V425" s="267">
        <v>0</v>
      </c>
      <c r="W425" s="268" t="s">
        <v>218</v>
      </c>
      <c r="X425" s="268" t="s">
        <v>218</v>
      </c>
      <c r="Y425" s="269" t="s">
        <v>219</v>
      </c>
      <c r="Z425" s="270" t="s">
        <v>218</v>
      </c>
      <c r="AA425" s="268" t="s">
        <v>218</v>
      </c>
      <c r="AB425" s="268" t="s">
        <v>218</v>
      </c>
      <c r="AC425" s="269" t="s">
        <v>218</v>
      </c>
      <c r="AD425" s="269" t="s">
        <v>218</v>
      </c>
      <c r="AE425" s="269" t="s">
        <v>219</v>
      </c>
      <c r="AF425" s="268">
        <v>0</v>
      </c>
      <c r="AG425" s="239">
        <v>1</v>
      </c>
      <c r="AH425" s="239"/>
      <c r="AI425" s="239">
        <v>0</v>
      </c>
      <c r="AJ425" s="239">
        <v>0</v>
      </c>
    </row>
    <row r="426" spans="1:36" s="81" customFormat="1" ht="32.25" customHeight="1" x14ac:dyDescent="0.3">
      <c r="A426" s="80">
        <v>419</v>
      </c>
      <c r="B426" s="84" t="s">
        <v>196</v>
      </c>
      <c r="D426" s="240" t="s">
        <v>1370</v>
      </c>
      <c r="E426" s="239">
        <v>24</v>
      </c>
      <c r="F426" s="239"/>
      <c r="G426" s="277" t="s">
        <v>245</v>
      </c>
      <c r="H426" s="84" t="s">
        <v>1111</v>
      </c>
      <c r="I426" s="239" t="s">
        <v>886</v>
      </c>
      <c r="J426" s="239" t="s">
        <v>887</v>
      </c>
      <c r="K426" s="118"/>
      <c r="L426" s="239"/>
      <c r="M426" s="282">
        <v>1912</v>
      </c>
      <c r="N426" s="239" t="s">
        <v>893</v>
      </c>
      <c r="O426" s="282">
        <v>2</v>
      </c>
      <c r="P426" s="239">
        <v>0</v>
      </c>
      <c r="Q426" s="282">
        <v>1</v>
      </c>
      <c r="R426" s="239">
        <v>7</v>
      </c>
      <c r="S426" s="266">
        <f t="shared" si="11"/>
        <v>440.5</v>
      </c>
      <c r="T426" s="267">
        <v>440.5</v>
      </c>
      <c r="U426" s="267">
        <v>410.2</v>
      </c>
      <c r="V426" s="267">
        <v>30.3</v>
      </c>
      <c r="W426" s="268" t="s">
        <v>218</v>
      </c>
      <c r="X426" s="268" t="s">
        <v>218</v>
      </c>
      <c r="Y426" s="269" t="s">
        <v>219</v>
      </c>
      <c r="Z426" s="270" t="s">
        <v>218</v>
      </c>
      <c r="AA426" s="268" t="s">
        <v>218</v>
      </c>
      <c r="AB426" s="268" t="s">
        <v>218</v>
      </c>
      <c r="AC426" s="269" t="s">
        <v>218</v>
      </c>
      <c r="AD426" s="269" t="s">
        <v>218</v>
      </c>
      <c r="AE426" s="269" t="s">
        <v>219</v>
      </c>
      <c r="AF426" s="268">
        <v>0</v>
      </c>
      <c r="AG426" s="239">
        <v>1</v>
      </c>
      <c r="AH426" s="239"/>
      <c r="AI426" s="239">
        <v>0</v>
      </c>
      <c r="AJ426" s="239">
        <v>0</v>
      </c>
    </row>
    <row r="427" spans="1:36" s="81" customFormat="1" ht="32.25" customHeight="1" x14ac:dyDescent="0.3">
      <c r="A427" s="5">
        <v>420</v>
      </c>
      <c r="B427" s="84" t="s">
        <v>196</v>
      </c>
      <c r="D427" s="240" t="s">
        <v>1370</v>
      </c>
      <c r="E427" s="239">
        <v>28</v>
      </c>
      <c r="F427" s="239"/>
      <c r="G427" s="277" t="s">
        <v>245</v>
      </c>
      <c r="H427" s="84" t="s">
        <v>1112</v>
      </c>
      <c r="I427" s="239" t="s">
        <v>886</v>
      </c>
      <c r="J427" s="239" t="s">
        <v>887</v>
      </c>
      <c r="K427" s="118"/>
      <c r="L427" s="239"/>
      <c r="M427" s="282">
        <v>1950</v>
      </c>
      <c r="N427" s="239" t="s">
        <v>889</v>
      </c>
      <c r="O427" s="282">
        <v>3</v>
      </c>
      <c r="P427" s="239">
        <v>0</v>
      </c>
      <c r="Q427" s="282">
        <v>2</v>
      </c>
      <c r="R427" s="239">
        <v>11</v>
      </c>
      <c r="S427" s="266">
        <f t="shared" si="11"/>
        <v>1174</v>
      </c>
      <c r="T427" s="267">
        <v>1174</v>
      </c>
      <c r="U427" s="267">
        <v>897.82</v>
      </c>
      <c r="V427" s="267">
        <v>0</v>
      </c>
      <c r="W427" s="268" t="s">
        <v>218</v>
      </c>
      <c r="X427" s="268" t="s">
        <v>218</v>
      </c>
      <c r="Y427" s="269" t="s">
        <v>219</v>
      </c>
      <c r="Z427" s="270" t="s">
        <v>218</v>
      </c>
      <c r="AA427" s="268" t="s">
        <v>218</v>
      </c>
      <c r="AB427" s="268" t="s">
        <v>218</v>
      </c>
      <c r="AC427" s="269" t="s">
        <v>218</v>
      </c>
      <c r="AD427" s="269" t="s">
        <v>218</v>
      </c>
      <c r="AE427" s="269" t="s">
        <v>219</v>
      </c>
      <c r="AF427" s="268">
        <v>0</v>
      </c>
      <c r="AG427" s="239">
        <v>1</v>
      </c>
      <c r="AH427" s="239"/>
      <c r="AI427" s="239">
        <v>0</v>
      </c>
      <c r="AJ427" s="239">
        <v>0</v>
      </c>
    </row>
    <row r="428" spans="1:36" s="81" customFormat="1" ht="32.25" customHeight="1" x14ac:dyDescent="0.3">
      <c r="A428" s="80">
        <v>421</v>
      </c>
      <c r="B428" s="84" t="s">
        <v>196</v>
      </c>
      <c r="D428" s="240" t="s">
        <v>1370</v>
      </c>
      <c r="E428" s="239">
        <v>30</v>
      </c>
      <c r="F428" s="239"/>
      <c r="G428" s="277" t="s">
        <v>245</v>
      </c>
      <c r="H428" s="84" t="s">
        <v>1113</v>
      </c>
      <c r="I428" s="239" t="s">
        <v>886</v>
      </c>
      <c r="J428" s="239" t="s">
        <v>887</v>
      </c>
      <c r="K428" s="118" t="s">
        <v>922</v>
      </c>
      <c r="L428" s="239"/>
      <c r="M428" s="282">
        <v>1952</v>
      </c>
      <c r="N428" s="239" t="s">
        <v>893</v>
      </c>
      <c r="O428" s="282">
        <v>3</v>
      </c>
      <c r="P428" s="239">
        <v>0</v>
      </c>
      <c r="Q428" s="282">
        <v>2</v>
      </c>
      <c r="R428" s="239">
        <v>12</v>
      </c>
      <c r="S428" s="266">
        <f t="shared" si="11"/>
        <v>1615.44</v>
      </c>
      <c r="T428" s="267">
        <v>1615.44</v>
      </c>
      <c r="U428" s="267">
        <v>1239.97</v>
      </c>
      <c r="V428" s="267">
        <v>69.900000000000034</v>
      </c>
      <c r="W428" s="268" t="s">
        <v>218</v>
      </c>
      <c r="X428" s="268" t="s">
        <v>218</v>
      </c>
      <c r="Y428" s="269" t="s">
        <v>219</v>
      </c>
      <c r="Z428" s="270" t="s">
        <v>218</v>
      </c>
      <c r="AA428" s="268" t="s">
        <v>218</v>
      </c>
      <c r="AB428" s="268" t="s">
        <v>218</v>
      </c>
      <c r="AC428" s="269" t="s">
        <v>218</v>
      </c>
      <c r="AD428" s="269" t="s">
        <v>218</v>
      </c>
      <c r="AE428" s="269" t="s">
        <v>219</v>
      </c>
      <c r="AF428" s="268">
        <v>0</v>
      </c>
      <c r="AG428" s="239">
        <v>1</v>
      </c>
      <c r="AH428" s="239"/>
      <c r="AI428" s="239">
        <v>0</v>
      </c>
      <c r="AJ428" s="239">
        <v>0</v>
      </c>
    </row>
    <row r="429" spans="1:36" s="81" customFormat="1" ht="32.25" customHeight="1" x14ac:dyDescent="0.3">
      <c r="A429" s="5">
        <v>422</v>
      </c>
      <c r="B429" s="84" t="s">
        <v>196</v>
      </c>
      <c r="D429" s="240" t="s">
        <v>1370</v>
      </c>
      <c r="E429" s="239">
        <v>8</v>
      </c>
      <c r="F429" s="239"/>
      <c r="G429" s="277" t="s">
        <v>245</v>
      </c>
      <c r="H429" s="84" t="s">
        <v>1114</v>
      </c>
      <c r="I429" s="239" t="s">
        <v>886</v>
      </c>
      <c r="J429" s="239" t="s">
        <v>887</v>
      </c>
      <c r="K429" s="118"/>
      <c r="L429" s="239"/>
      <c r="M429" s="282">
        <v>1950</v>
      </c>
      <c r="N429" s="239" t="s">
        <v>893</v>
      </c>
      <c r="O429" s="239">
        <v>3</v>
      </c>
      <c r="P429" s="239">
        <v>0</v>
      </c>
      <c r="Q429" s="239">
        <v>3</v>
      </c>
      <c r="R429" s="239">
        <v>19</v>
      </c>
      <c r="S429" s="266">
        <f t="shared" si="11"/>
        <v>1542.4</v>
      </c>
      <c r="T429" s="267">
        <v>1542.4</v>
      </c>
      <c r="U429" s="267">
        <v>1192.4000000000001</v>
      </c>
      <c r="V429" s="267">
        <v>157.19999999999999</v>
      </c>
      <c r="W429" s="268" t="s">
        <v>218</v>
      </c>
      <c r="X429" s="268" t="s">
        <v>218</v>
      </c>
      <c r="Y429" s="269" t="s">
        <v>219</v>
      </c>
      <c r="Z429" s="270" t="s">
        <v>218</v>
      </c>
      <c r="AA429" s="268" t="s">
        <v>218</v>
      </c>
      <c r="AB429" s="268" t="s">
        <v>218</v>
      </c>
      <c r="AC429" s="269" t="s">
        <v>218</v>
      </c>
      <c r="AD429" s="269" t="s">
        <v>218</v>
      </c>
      <c r="AE429" s="269" t="s">
        <v>219</v>
      </c>
      <c r="AF429" s="268">
        <v>0</v>
      </c>
      <c r="AG429" s="239">
        <v>1</v>
      </c>
      <c r="AH429" s="239"/>
      <c r="AI429" s="239">
        <v>0</v>
      </c>
      <c r="AJ429" s="239">
        <v>0</v>
      </c>
    </row>
    <row r="430" spans="1:36" s="81" customFormat="1" ht="32.25" customHeight="1" x14ac:dyDescent="0.3">
      <c r="A430" s="80">
        <v>423</v>
      </c>
      <c r="B430" s="84" t="s">
        <v>196</v>
      </c>
      <c r="D430" s="240" t="s">
        <v>1370</v>
      </c>
      <c r="E430" s="239">
        <v>26</v>
      </c>
      <c r="F430" s="239"/>
      <c r="G430" s="277" t="s">
        <v>245</v>
      </c>
      <c r="H430" s="84" t="s">
        <v>1115</v>
      </c>
      <c r="I430" s="239" t="s">
        <v>886</v>
      </c>
      <c r="J430" s="239" t="s">
        <v>887</v>
      </c>
      <c r="K430" s="118" t="s">
        <v>927</v>
      </c>
      <c r="L430" s="239"/>
      <c r="M430" s="282">
        <v>1950</v>
      </c>
      <c r="N430" s="239" t="s">
        <v>893</v>
      </c>
      <c r="O430" s="239">
        <v>3</v>
      </c>
      <c r="P430" s="239">
        <v>0</v>
      </c>
      <c r="Q430" s="239">
        <v>2</v>
      </c>
      <c r="R430" s="239">
        <v>4</v>
      </c>
      <c r="S430" s="266">
        <f t="shared" si="11"/>
        <v>1285.9000000000001</v>
      </c>
      <c r="T430" s="267">
        <v>1285.9000000000001</v>
      </c>
      <c r="U430" s="267">
        <v>1283.0999999999999</v>
      </c>
      <c r="V430" s="267">
        <v>0</v>
      </c>
      <c r="W430" s="268" t="s">
        <v>218</v>
      </c>
      <c r="X430" s="268" t="s">
        <v>218</v>
      </c>
      <c r="Y430" s="269" t="s">
        <v>219</v>
      </c>
      <c r="Z430" s="270" t="s">
        <v>218</v>
      </c>
      <c r="AA430" s="268" t="s">
        <v>218</v>
      </c>
      <c r="AB430" s="268" t="s">
        <v>218</v>
      </c>
      <c r="AC430" s="269" t="s">
        <v>218</v>
      </c>
      <c r="AD430" s="269" t="s">
        <v>218</v>
      </c>
      <c r="AE430" s="269" t="s">
        <v>219</v>
      </c>
      <c r="AF430" s="268">
        <v>0</v>
      </c>
      <c r="AG430" s="239">
        <v>1</v>
      </c>
      <c r="AH430" s="239"/>
      <c r="AI430" s="239">
        <v>0</v>
      </c>
      <c r="AJ430" s="239">
        <v>0</v>
      </c>
    </row>
    <row r="431" spans="1:36" s="81" customFormat="1" ht="32.25" customHeight="1" x14ac:dyDescent="0.3">
      <c r="A431" s="5">
        <v>424</v>
      </c>
      <c r="B431" s="84" t="s">
        <v>196</v>
      </c>
      <c r="D431" s="240" t="s">
        <v>1371</v>
      </c>
      <c r="E431" s="239">
        <v>110</v>
      </c>
      <c r="F431" s="239"/>
      <c r="G431" s="277" t="s">
        <v>245</v>
      </c>
      <c r="H431" s="84" t="s">
        <v>1116</v>
      </c>
      <c r="I431" s="239" t="s">
        <v>886</v>
      </c>
      <c r="J431" s="118" t="s">
        <v>903</v>
      </c>
      <c r="K431" s="118" t="s">
        <v>922</v>
      </c>
      <c r="L431" s="239"/>
      <c r="M431" s="282">
        <v>1915</v>
      </c>
      <c r="N431" s="239" t="s">
        <v>893</v>
      </c>
      <c r="O431" s="239">
        <v>3</v>
      </c>
      <c r="P431" s="239">
        <v>0</v>
      </c>
      <c r="Q431" s="239">
        <v>1</v>
      </c>
      <c r="R431" s="239">
        <v>3</v>
      </c>
      <c r="S431" s="266">
        <f t="shared" si="11"/>
        <v>397.1</v>
      </c>
      <c r="T431" s="267">
        <v>397.1</v>
      </c>
      <c r="U431" s="267">
        <v>308.3</v>
      </c>
      <c r="V431" s="267">
        <v>0</v>
      </c>
      <c r="W431" s="268" t="s">
        <v>218</v>
      </c>
      <c r="X431" s="268" t="s">
        <v>218</v>
      </c>
      <c r="Y431" s="269" t="s">
        <v>218</v>
      </c>
      <c r="Z431" s="270" t="s">
        <v>218</v>
      </c>
      <c r="AA431" s="268" t="s">
        <v>218</v>
      </c>
      <c r="AB431" s="268" t="s">
        <v>218</v>
      </c>
      <c r="AC431" s="269" t="s">
        <v>219</v>
      </c>
      <c r="AD431" s="269" t="s">
        <v>218</v>
      </c>
      <c r="AE431" s="269" t="s">
        <v>219</v>
      </c>
      <c r="AF431" s="268">
        <v>0</v>
      </c>
      <c r="AG431" s="239">
        <v>1</v>
      </c>
      <c r="AH431" s="239"/>
      <c r="AI431" s="239">
        <v>1</v>
      </c>
      <c r="AJ431" s="239">
        <v>1</v>
      </c>
    </row>
    <row r="432" spans="1:36" s="81" customFormat="1" ht="32.25" customHeight="1" x14ac:dyDescent="0.3">
      <c r="A432" s="80">
        <v>425</v>
      </c>
      <c r="B432" s="84" t="s">
        <v>196</v>
      </c>
      <c r="D432" s="240" t="s">
        <v>1371</v>
      </c>
      <c r="E432" s="239">
        <v>122</v>
      </c>
      <c r="F432" s="239"/>
      <c r="G432" s="277" t="s">
        <v>245</v>
      </c>
      <c r="H432" s="84" t="s">
        <v>1117</v>
      </c>
      <c r="I432" s="239" t="s">
        <v>886</v>
      </c>
      <c r="J432" s="118" t="s">
        <v>904</v>
      </c>
      <c r="K432" s="118" t="s">
        <v>922</v>
      </c>
      <c r="L432" s="239"/>
      <c r="M432" s="239">
        <v>1900</v>
      </c>
      <c r="N432" s="239" t="s">
        <v>893</v>
      </c>
      <c r="O432" s="239">
        <v>5</v>
      </c>
      <c r="P432" s="239">
        <v>0</v>
      </c>
      <c r="Q432" s="239">
        <v>1</v>
      </c>
      <c r="R432" s="239">
        <v>10</v>
      </c>
      <c r="S432" s="266">
        <f t="shared" si="11"/>
        <v>963.4</v>
      </c>
      <c r="T432" s="267">
        <v>963.4</v>
      </c>
      <c r="U432" s="267">
        <v>963.4</v>
      </c>
      <c r="V432" s="267">
        <v>0</v>
      </c>
      <c r="W432" s="268" t="s">
        <v>218</v>
      </c>
      <c r="X432" s="268" t="s">
        <v>218</v>
      </c>
      <c r="Y432" s="269" t="s">
        <v>218</v>
      </c>
      <c r="Z432" s="270" t="s">
        <v>218</v>
      </c>
      <c r="AA432" s="268" t="s">
        <v>218</v>
      </c>
      <c r="AB432" s="268" t="s">
        <v>218</v>
      </c>
      <c r="AC432" s="269" t="s">
        <v>219</v>
      </c>
      <c r="AD432" s="269" t="s">
        <v>218</v>
      </c>
      <c r="AE432" s="269" t="s">
        <v>219</v>
      </c>
      <c r="AF432" s="268">
        <v>0</v>
      </c>
      <c r="AG432" s="239"/>
      <c r="AH432" s="239"/>
      <c r="AI432" s="239">
        <v>0</v>
      </c>
      <c r="AJ432" s="239">
        <v>0</v>
      </c>
    </row>
    <row r="433" spans="1:36" s="81" customFormat="1" ht="32.25" customHeight="1" x14ac:dyDescent="0.3">
      <c r="A433" s="5">
        <v>426</v>
      </c>
      <c r="B433" s="84" t="s">
        <v>196</v>
      </c>
      <c r="D433" s="240" t="s">
        <v>1371</v>
      </c>
      <c r="E433" s="239">
        <v>27</v>
      </c>
      <c r="F433" s="239"/>
      <c r="G433" s="277" t="s">
        <v>245</v>
      </c>
      <c r="H433" s="84" t="s">
        <v>1118</v>
      </c>
      <c r="I433" s="239" t="s">
        <v>886</v>
      </c>
      <c r="J433" s="118" t="s">
        <v>1358</v>
      </c>
      <c r="K433" s="118" t="s">
        <v>922</v>
      </c>
      <c r="L433" s="239"/>
      <c r="M433" s="239">
        <v>1899</v>
      </c>
      <c r="N433" s="239" t="s">
        <v>893</v>
      </c>
      <c r="O433" s="239">
        <v>4</v>
      </c>
      <c r="P433" s="239">
        <v>0</v>
      </c>
      <c r="Q433" s="239">
        <v>1</v>
      </c>
      <c r="R433" s="239">
        <v>15</v>
      </c>
      <c r="S433" s="266">
        <f t="shared" si="11"/>
        <v>805.9</v>
      </c>
      <c r="T433" s="267">
        <v>805.9</v>
      </c>
      <c r="U433" s="267">
        <v>705.8</v>
      </c>
      <c r="V433" s="267">
        <v>0</v>
      </c>
      <c r="W433" s="268" t="s">
        <v>218</v>
      </c>
      <c r="X433" s="268" t="s">
        <v>218</v>
      </c>
      <c r="Y433" s="269" t="s">
        <v>219</v>
      </c>
      <c r="Z433" s="270" t="s">
        <v>218</v>
      </c>
      <c r="AA433" s="268" t="s">
        <v>218</v>
      </c>
      <c r="AB433" s="268" t="s">
        <v>218</v>
      </c>
      <c r="AC433" s="269" t="s">
        <v>218</v>
      </c>
      <c r="AD433" s="269" t="s">
        <v>218</v>
      </c>
      <c r="AE433" s="269" t="s">
        <v>219</v>
      </c>
      <c r="AF433" s="268">
        <v>0</v>
      </c>
      <c r="AG433" s="239">
        <v>2</v>
      </c>
      <c r="AH433" s="239"/>
      <c r="AI433" s="239">
        <v>0</v>
      </c>
      <c r="AJ433" s="239">
        <v>0</v>
      </c>
    </row>
    <row r="434" spans="1:36" s="81" customFormat="1" ht="32.25" customHeight="1" x14ac:dyDescent="0.3">
      <c r="A434" s="80">
        <v>427</v>
      </c>
      <c r="B434" s="84" t="s">
        <v>196</v>
      </c>
      <c r="D434" s="240" t="s">
        <v>1371</v>
      </c>
      <c r="E434" s="239">
        <v>31</v>
      </c>
      <c r="F434" s="239"/>
      <c r="G434" s="277" t="s">
        <v>245</v>
      </c>
      <c r="H434" s="84" t="s">
        <v>1119</v>
      </c>
      <c r="I434" s="239" t="s">
        <v>886</v>
      </c>
      <c r="J434" s="118" t="s">
        <v>1358</v>
      </c>
      <c r="K434" s="118"/>
      <c r="L434" s="118"/>
      <c r="M434" s="239">
        <v>1907</v>
      </c>
      <c r="N434" s="239" t="s">
        <v>893</v>
      </c>
      <c r="O434" s="239">
        <v>5</v>
      </c>
      <c r="P434" s="239">
        <v>0</v>
      </c>
      <c r="Q434" s="239">
        <v>1</v>
      </c>
      <c r="R434" s="239">
        <v>14</v>
      </c>
      <c r="S434" s="266">
        <f t="shared" si="11"/>
        <v>884.3</v>
      </c>
      <c r="T434" s="267">
        <v>884.3</v>
      </c>
      <c r="U434" s="267">
        <v>851.9</v>
      </c>
      <c r="V434" s="267">
        <v>0</v>
      </c>
      <c r="W434" s="268" t="s">
        <v>218</v>
      </c>
      <c r="X434" s="268" t="s">
        <v>218</v>
      </c>
      <c r="Y434" s="269" t="s">
        <v>218</v>
      </c>
      <c r="Z434" s="270" t="s">
        <v>218</v>
      </c>
      <c r="AA434" s="268" t="s">
        <v>218</v>
      </c>
      <c r="AB434" s="268" t="s">
        <v>218</v>
      </c>
      <c r="AC434" s="269" t="s">
        <v>219</v>
      </c>
      <c r="AD434" s="269" t="s">
        <v>218</v>
      </c>
      <c r="AE434" s="269" t="s">
        <v>219</v>
      </c>
      <c r="AF434" s="268">
        <v>1</v>
      </c>
      <c r="AG434" s="239">
        <v>2</v>
      </c>
      <c r="AH434" s="239"/>
      <c r="AI434" s="239">
        <v>1</v>
      </c>
      <c r="AJ434" s="239">
        <v>1</v>
      </c>
    </row>
    <row r="435" spans="1:36" s="81" customFormat="1" ht="32.25" customHeight="1" x14ac:dyDescent="0.3">
      <c r="A435" s="5">
        <v>428</v>
      </c>
      <c r="B435" s="84" t="s">
        <v>196</v>
      </c>
      <c r="D435" s="240" t="s">
        <v>1371</v>
      </c>
      <c r="E435" s="239">
        <v>31</v>
      </c>
      <c r="F435" s="239"/>
      <c r="G435" s="277" t="s">
        <v>1356</v>
      </c>
      <c r="H435" s="84" t="s">
        <v>1120</v>
      </c>
      <c r="I435" s="239" t="s">
        <v>886</v>
      </c>
      <c r="J435" s="118" t="s">
        <v>1358</v>
      </c>
      <c r="K435" s="118"/>
      <c r="L435" s="118"/>
      <c r="M435" s="239">
        <v>1914</v>
      </c>
      <c r="N435" s="239" t="s">
        <v>893</v>
      </c>
      <c r="O435" s="239">
        <v>5</v>
      </c>
      <c r="P435" s="239">
        <v>0</v>
      </c>
      <c r="Q435" s="239">
        <v>1</v>
      </c>
      <c r="R435" s="239">
        <v>19</v>
      </c>
      <c r="S435" s="266">
        <f t="shared" si="11"/>
        <v>1677.6</v>
      </c>
      <c r="T435" s="267">
        <v>1677.6</v>
      </c>
      <c r="U435" s="267">
        <v>1329.9</v>
      </c>
      <c r="V435" s="267">
        <v>0</v>
      </c>
      <c r="W435" s="268" t="s">
        <v>218</v>
      </c>
      <c r="X435" s="268" t="s">
        <v>218</v>
      </c>
      <c r="Y435" s="269" t="s">
        <v>218</v>
      </c>
      <c r="Z435" s="270" t="s">
        <v>218</v>
      </c>
      <c r="AA435" s="268" t="s">
        <v>218</v>
      </c>
      <c r="AB435" s="268" t="s">
        <v>218</v>
      </c>
      <c r="AC435" s="269" t="s">
        <v>219</v>
      </c>
      <c r="AD435" s="269" t="s">
        <v>218</v>
      </c>
      <c r="AE435" s="269" t="s">
        <v>219</v>
      </c>
      <c r="AF435" s="268">
        <v>0</v>
      </c>
      <c r="AG435" s="239">
        <v>1</v>
      </c>
      <c r="AH435" s="239"/>
      <c r="AI435" s="239">
        <v>1</v>
      </c>
      <c r="AJ435" s="239">
        <v>1</v>
      </c>
    </row>
    <row r="436" spans="1:36" s="81" customFormat="1" ht="32.25" customHeight="1" x14ac:dyDescent="0.3">
      <c r="A436" s="80">
        <v>429</v>
      </c>
      <c r="B436" s="84" t="s">
        <v>196</v>
      </c>
      <c r="D436" s="240" t="s">
        <v>1371</v>
      </c>
      <c r="E436" s="239">
        <v>40</v>
      </c>
      <c r="F436" s="239"/>
      <c r="G436" s="277" t="s">
        <v>245</v>
      </c>
      <c r="H436" s="84" t="s">
        <v>1121</v>
      </c>
      <c r="I436" s="239" t="s">
        <v>886</v>
      </c>
      <c r="J436" s="118" t="s">
        <v>904</v>
      </c>
      <c r="K436" s="118"/>
      <c r="L436" s="118"/>
      <c r="M436" s="282">
        <v>1902</v>
      </c>
      <c r="N436" s="239" t="s">
        <v>893</v>
      </c>
      <c r="O436" s="282">
        <v>5</v>
      </c>
      <c r="P436" s="239">
        <v>0</v>
      </c>
      <c r="Q436" s="282">
        <v>5</v>
      </c>
      <c r="R436" s="239">
        <v>9</v>
      </c>
      <c r="S436" s="266">
        <f t="shared" si="11"/>
        <v>663.6</v>
      </c>
      <c r="T436" s="267">
        <v>663.6</v>
      </c>
      <c r="U436" s="267">
        <v>540.29999999999995</v>
      </c>
      <c r="V436" s="267">
        <v>47.7</v>
      </c>
      <c r="W436" s="268" t="s">
        <v>218</v>
      </c>
      <c r="X436" s="268" t="s">
        <v>218</v>
      </c>
      <c r="Y436" s="269" t="s">
        <v>219</v>
      </c>
      <c r="Z436" s="270" t="s">
        <v>218</v>
      </c>
      <c r="AA436" s="268" t="s">
        <v>218</v>
      </c>
      <c r="AB436" s="268" t="s">
        <v>218</v>
      </c>
      <c r="AC436" s="269" t="s">
        <v>218</v>
      </c>
      <c r="AD436" s="269" t="s">
        <v>218</v>
      </c>
      <c r="AE436" s="269" t="s">
        <v>219</v>
      </c>
      <c r="AF436" s="268">
        <v>1</v>
      </c>
      <c r="AG436" s="239">
        <v>2</v>
      </c>
      <c r="AH436" s="239"/>
      <c r="AI436" s="239">
        <v>0</v>
      </c>
      <c r="AJ436" s="239">
        <v>1</v>
      </c>
    </row>
    <row r="437" spans="1:36" s="81" customFormat="1" ht="32.25" customHeight="1" x14ac:dyDescent="0.3">
      <c r="A437" s="5">
        <v>430</v>
      </c>
      <c r="B437" s="84" t="s">
        <v>196</v>
      </c>
      <c r="D437" s="240" t="s">
        <v>1371</v>
      </c>
      <c r="E437" s="239">
        <v>41</v>
      </c>
      <c r="F437" s="239"/>
      <c r="G437" s="277" t="s">
        <v>245</v>
      </c>
      <c r="H437" s="84" t="s">
        <v>1122</v>
      </c>
      <c r="I437" s="239" t="s">
        <v>886</v>
      </c>
      <c r="J437" s="118" t="s">
        <v>1358</v>
      </c>
      <c r="K437" s="118" t="s">
        <v>922</v>
      </c>
      <c r="L437" s="239"/>
      <c r="M437" s="282">
        <v>1880</v>
      </c>
      <c r="N437" s="239" t="s">
        <v>893</v>
      </c>
      <c r="O437" s="282">
        <v>5</v>
      </c>
      <c r="P437" s="239">
        <v>0</v>
      </c>
      <c r="Q437" s="282">
        <v>5</v>
      </c>
      <c r="R437" s="239">
        <v>28</v>
      </c>
      <c r="S437" s="266">
        <f t="shared" si="11"/>
        <v>2272.4</v>
      </c>
      <c r="T437" s="267">
        <v>2272.4</v>
      </c>
      <c r="U437" s="267">
        <v>2052.1</v>
      </c>
      <c r="V437" s="267">
        <v>220.3</v>
      </c>
      <c r="W437" s="268" t="s">
        <v>218</v>
      </c>
      <c r="X437" s="268" t="s">
        <v>218</v>
      </c>
      <c r="Y437" s="269" t="s">
        <v>218</v>
      </c>
      <c r="Z437" s="270" t="s">
        <v>218</v>
      </c>
      <c r="AA437" s="268" t="s">
        <v>218</v>
      </c>
      <c r="AB437" s="268" t="s">
        <v>218</v>
      </c>
      <c r="AC437" s="269" t="s">
        <v>219</v>
      </c>
      <c r="AD437" s="269" t="s">
        <v>218</v>
      </c>
      <c r="AE437" s="269" t="s">
        <v>219</v>
      </c>
      <c r="AF437" s="268">
        <v>0</v>
      </c>
      <c r="AG437" s="239">
        <v>1</v>
      </c>
      <c r="AH437" s="239"/>
      <c r="AI437" s="239">
        <v>0</v>
      </c>
      <c r="AJ437" s="239">
        <v>0</v>
      </c>
    </row>
    <row r="438" spans="1:36" s="81" customFormat="1" ht="32.25" customHeight="1" x14ac:dyDescent="0.3">
      <c r="A438" s="80">
        <v>431</v>
      </c>
      <c r="B438" s="84" t="s">
        <v>196</v>
      </c>
      <c r="D438" s="240" t="s">
        <v>1371</v>
      </c>
      <c r="E438" s="239" t="s">
        <v>1372</v>
      </c>
      <c r="F438" s="239"/>
      <c r="G438" s="277" t="s">
        <v>245</v>
      </c>
      <c r="H438" s="84" t="s">
        <v>1123</v>
      </c>
      <c r="I438" s="239" t="s">
        <v>886</v>
      </c>
      <c r="J438" s="239" t="s">
        <v>1360</v>
      </c>
      <c r="K438" s="118"/>
      <c r="L438" s="239"/>
      <c r="M438" s="282">
        <v>1962</v>
      </c>
      <c r="N438" s="239" t="s">
        <v>893</v>
      </c>
      <c r="O438" s="282">
        <v>5</v>
      </c>
      <c r="P438" s="239">
        <v>0</v>
      </c>
      <c r="Q438" s="282">
        <v>3</v>
      </c>
      <c r="R438" s="239">
        <v>43</v>
      </c>
      <c r="S438" s="266">
        <f t="shared" si="11"/>
        <v>3013.7</v>
      </c>
      <c r="T438" s="267">
        <v>3013.7</v>
      </c>
      <c r="U438" s="267">
        <v>2947.9</v>
      </c>
      <c r="V438" s="267">
        <v>0</v>
      </c>
      <c r="W438" s="268" t="s">
        <v>218</v>
      </c>
      <c r="X438" s="268" t="s">
        <v>218</v>
      </c>
      <c r="Y438" s="269" t="s">
        <v>218</v>
      </c>
      <c r="Z438" s="270" t="s">
        <v>218</v>
      </c>
      <c r="AA438" s="268" t="s">
        <v>218</v>
      </c>
      <c r="AB438" s="268" t="s">
        <v>218</v>
      </c>
      <c r="AC438" s="269" t="s">
        <v>219</v>
      </c>
      <c r="AD438" s="269" t="s">
        <v>218</v>
      </c>
      <c r="AE438" s="269" t="s">
        <v>219</v>
      </c>
      <c r="AF438" s="268">
        <v>0</v>
      </c>
      <c r="AG438" s="239">
        <v>1</v>
      </c>
      <c r="AH438" s="239"/>
      <c r="AI438" s="239">
        <v>1</v>
      </c>
      <c r="AJ438" s="239">
        <v>1</v>
      </c>
    </row>
    <row r="439" spans="1:36" s="81" customFormat="1" ht="32.25" customHeight="1" x14ac:dyDescent="0.3">
      <c r="A439" s="5">
        <v>432</v>
      </c>
      <c r="B439" s="84" t="s">
        <v>196</v>
      </c>
      <c r="D439" s="240" t="s">
        <v>1371</v>
      </c>
      <c r="E439" s="239">
        <v>52</v>
      </c>
      <c r="F439" s="239"/>
      <c r="G439" s="277" t="s">
        <v>245</v>
      </c>
      <c r="H439" s="84" t="s">
        <v>1124</v>
      </c>
      <c r="I439" s="239" t="s">
        <v>886</v>
      </c>
      <c r="J439" s="239" t="s">
        <v>1360</v>
      </c>
      <c r="K439" s="118"/>
      <c r="L439" s="239"/>
      <c r="M439" s="282">
        <v>1917</v>
      </c>
      <c r="N439" s="239" t="s">
        <v>893</v>
      </c>
      <c r="O439" s="282">
        <v>5</v>
      </c>
      <c r="P439" s="239">
        <v>0</v>
      </c>
      <c r="Q439" s="282">
        <v>1</v>
      </c>
      <c r="R439" s="239">
        <v>18</v>
      </c>
      <c r="S439" s="266">
        <f t="shared" si="11"/>
        <v>1050.0999999999999</v>
      </c>
      <c r="T439" s="267">
        <v>1050.0999999999999</v>
      </c>
      <c r="U439" s="267">
        <v>1006.5</v>
      </c>
      <c r="V439" s="267">
        <v>43.6</v>
      </c>
      <c r="W439" s="268" t="s">
        <v>218</v>
      </c>
      <c r="X439" s="268" t="s">
        <v>218</v>
      </c>
      <c r="Y439" s="269" t="s">
        <v>218</v>
      </c>
      <c r="Z439" s="270" t="s">
        <v>218</v>
      </c>
      <c r="AA439" s="268" t="s">
        <v>218</v>
      </c>
      <c r="AB439" s="268" t="s">
        <v>218</v>
      </c>
      <c r="AC439" s="269" t="s">
        <v>219</v>
      </c>
      <c r="AD439" s="269" t="s">
        <v>218</v>
      </c>
      <c r="AE439" s="269" t="s">
        <v>219</v>
      </c>
      <c r="AF439" s="268">
        <v>0</v>
      </c>
      <c r="AG439" s="239">
        <v>1</v>
      </c>
      <c r="AH439" s="239"/>
      <c r="AI439" s="239">
        <v>0</v>
      </c>
      <c r="AJ439" s="239">
        <v>0</v>
      </c>
    </row>
    <row r="440" spans="1:36" s="81" customFormat="1" ht="32.25" customHeight="1" x14ac:dyDescent="0.3">
      <c r="A440" s="80">
        <v>433</v>
      </c>
      <c r="B440" s="84" t="s">
        <v>196</v>
      </c>
      <c r="D440" s="240" t="s">
        <v>1371</v>
      </c>
      <c r="E440" s="239">
        <v>54</v>
      </c>
      <c r="F440" s="239"/>
      <c r="G440" s="277" t="s">
        <v>245</v>
      </c>
      <c r="H440" s="84" t="s">
        <v>1125</v>
      </c>
      <c r="I440" s="239" t="s">
        <v>886</v>
      </c>
      <c r="J440" s="239" t="s">
        <v>1360</v>
      </c>
      <c r="K440" s="118"/>
      <c r="L440" s="239"/>
      <c r="M440" s="282">
        <v>1917</v>
      </c>
      <c r="N440" s="239" t="s">
        <v>893</v>
      </c>
      <c r="O440" s="282">
        <v>5</v>
      </c>
      <c r="P440" s="239">
        <v>0</v>
      </c>
      <c r="Q440" s="282">
        <v>1</v>
      </c>
      <c r="R440" s="239">
        <v>19</v>
      </c>
      <c r="S440" s="266">
        <f t="shared" si="11"/>
        <v>1050.0999999999999</v>
      </c>
      <c r="T440" s="267">
        <v>1050.0999999999999</v>
      </c>
      <c r="U440" s="267">
        <v>1025.8</v>
      </c>
      <c r="V440" s="267">
        <v>24.3</v>
      </c>
      <c r="W440" s="268" t="s">
        <v>218</v>
      </c>
      <c r="X440" s="268" t="s">
        <v>218</v>
      </c>
      <c r="Y440" s="269" t="s">
        <v>218</v>
      </c>
      <c r="Z440" s="270" t="s">
        <v>218</v>
      </c>
      <c r="AA440" s="268" t="s">
        <v>218</v>
      </c>
      <c r="AB440" s="268" t="s">
        <v>218</v>
      </c>
      <c r="AC440" s="269" t="s">
        <v>219</v>
      </c>
      <c r="AD440" s="269" t="s">
        <v>218</v>
      </c>
      <c r="AE440" s="269" t="s">
        <v>219</v>
      </c>
      <c r="AF440" s="268">
        <v>0</v>
      </c>
      <c r="AG440" s="239">
        <v>1</v>
      </c>
      <c r="AH440" s="239"/>
      <c r="AI440" s="239">
        <v>0</v>
      </c>
      <c r="AJ440" s="239">
        <v>0</v>
      </c>
    </row>
    <row r="441" spans="1:36" s="81" customFormat="1" ht="32.25" customHeight="1" x14ac:dyDescent="0.3">
      <c r="A441" s="5">
        <v>434</v>
      </c>
      <c r="B441" s="84" t="s">
        <v>196</v>
      </c>
      <c r="D441" s="240" t="s">
        <v>1371</v>
      </c>
      <c r="E441" s="239">
        <v>55</v>
      </c>
      <c r="F441" s="239"/>
      <c r="G441" s="277" t="s">
        <v>245</v>
      </c>
      <c r="H441" s="84" t="s">
        <v>1126</v>
      </c>
      <c r="I441" s="239" t="s">
        <v>886</v>
      </c>
      <c r="J441" s="239" t="s">
        <v>887</v>
      </c>
      <c r="K441" s="118"/>
      <c r="L441" s="239"/>
      <c r="M441" s="282">
        <v>1908</v>
      </c>
      <c r="N441" s="239" t="s">
        <v>893</v>
      </c>
      <c r="O441" s="282">
        <v>6</v>
      </c>
      <c r="P441" s="239">
        <v>0</v>
      </c>
      <c r="Q441" s="282">
        <v>1</v>
      </c>
      <c r="R441" s="239">
        <v>24</v>
      </c>
      <c r="S441" s="266">
        <f t="shared" si="11"/>
        <v>1664.06</v>
      </c>
      <c r="T441" s="267">
        <v>1664.06</v>
      </c>
      <c r="U441" s="267">
        <v>1468.56</v>
      </c>
      <c r="V441" s="267">
        <v>0</v>
      </c>
      <c r="W441" s="268" t="s">
        <v>218</v>
      </c>
      <c r="X441" s="268" t="s">
        <v>218</v>
      </c>
      <c r="Y441" s="269" t="s">
        <v>218</v>
      </c>
      <c r="Z441" s="270" t="s">
        <v>218</v>
      </c>
      <c r="AA441" s="268" t="s">
        <v>218</v>
      </c>
      <c r="AB441" s="268" t="s">
        <v>218</v>
      </c>
      <c r="AC441" s="269" t="s">
        <v>219</v>
      </c>
      <c r="AD441" s="269" t="s">
        <v>218</v>
      </c>
      <c r="AE441" s="269" t="s">
        <v>219</v>
      </c>
      <c r="AF441" s="268">
        <v>1</v>
      </c>
      <c r="AG441" s="239">
        <v>2</v>
      </c>
      <c r="AH441" s="239"/>
      <c r="AI441" s="239">
        <v>0</v>
      </c>
      <c r="AJ441" s="239">
        <v>0</v>
      </c>
    </row>
    <row r="442" spans="1:36" s="81" customFormat="1" ht="32.25" customHeight="1" x14ac:dyDescent="0.3">
      <c r="A442" s="80">
        <v>435</v>
      </c>
      <c r="B442" s="84" t="s">
        <v>196</v>
      </c>
      <c r="D442" s="240" t="s">
        <v>1371</v>
      </c>
      <c r="E442" s="239">
        <v>57</v>
      </c>
      <c r="F442" s="239"/>
      <c r="G442" s="277" t="s">
        <v>245</v>
      </c>
      <c r="H442" s="84" t="s">
        <v>1127</v>
      </c>
      <c r="I442" s="239" t="s">
        <v>886</v>
      </c>
      <c r="J442" s="239" t="s">
        <v>887</v>
      </c>
      <c r="K442" s="118"/>
      <c r="L442" s="239"/>
      <c r="M442" s="239">
        <v>1881</v>
      </c>
      <c r="N442" s="239" t="s">
        <v>893</v>
      </c>
      <c r="O442" s="239">
        <v>5</v>
      </c>
      <c r="P442" s="239">
        <v>0</v>
      </c>
      <c r="Q442" s="239">
        <v>1</v>
      </c>
      <c r="R442" s="239">
        <v>10</v>
      </c>
      <c r="S442" s="266">
        <f t="shared" si="11"/>
        <v>987.3</v>
      </c>
      <c r="T442" s="267">
        <v>987.3</v>
      </c>
      <c r="U442" s="267">
        <v>868.5</v>
      </c>
      <c r="V442" s="267">
        <v>0</v>
      </c>
      <c r="W442" s="268" t="s">
        <v>218</v>
      </c>
      <c r="X442" s="268" t="s">
        <v>218</v>
      </c>
      <c r="Y442" s="269" t="s">
        <v>218</v>
      </c>
      <c r="Z442" s="270" t="s">
        <v>218</v>
      </c>
      <c r="AA442" s="268" t="s">
        <v>218</v>
      </c>
      <c r="AB442" s="268" t="s">
        <v>218</v>
      </c>
      <c r="AC442" s="269" t="s">
        <v>219</v>
      </c>
      <c r="AD442" s="269" t="s">
        <v>218</v>
      </c>
      <c r="AE442" s="269" t="s">
        <v>219</v>
      </c>
      <c r="AF442" s="268">
        <v>0</v>
      </c>
      <c r="AG442" s="239">
        <v>1</v>
      </c>
      <c r="AH442" s="239"/>
      <c r="AI442" s="239">
        <v>1</v>
      </c>
      <c r="AJ442" s="239">
        <v>1</v>
      </c>
    </row>
    <row r="443" spans="1:36" s="81" customFormat="1" ht="32.25" customHeight="1" x14ac:dyDescent="0.3">
      <c r="A443" s="5">
        <v>436</v>
      </c>
      <c r="B443" s="84" t="s">
        <v>196</v>
      </c>
      <c r="D443" s="240" t="s">
        <v>1371</v>
      </c>
      <c r="E443" s="239">
        <v>57</v>
      </c>
      <c r="F443" s="239"/>
      <c r="G443" s="277" t="s">
        <v>245</v>
      </c>
      <c r="H443" s="84" t="s">
        <v>1128</v>
      </c>
      <c r="I443" s="239" t="s">
        <v>886</v>
      </c>
      <c r="J443" s="239" t="s">
        <v>887</v>
      </c>
      <c r="K443" s="118"/>
      <c r="L443" s="239"/>
      <c r="M443" s="239">
        <v>1881</v>
      </c>
      <c r="N443" s="239" t="s">
        <v>893</v>
      </c>
      <c r="O443" s="239">
        <v>5</v>
      </c>
      <c r="P443" s="239">
        <v>0</v>
      </c>
      <c r="Q443" s="239">
        <v>1</v>
      </c>
      <c r="R443" s="239">
        <v>8</v>
      </c>
      <c r="S443" s="266">
        <f t="shared" si="11"/>
        <v>823.8</v>
      </c>
      <c r="T443" s="267">
        <v>823.8</v>
      </c>
      <c r="U443" s="267">
        <v>658.4</v>
      </c>
      <c r="V443" s="267">
        <v>165.4</v>
      </c>
      <c r="W443" s="268" t="s">
        <v>218</v>
      </c>
      <c r="X443" s="268" t="s">
        <v>218</v>
      </c>
      <c r="Y443" s="269" t="s">
        <v>218</v>
      </c>
      <c r="Z443" s="270" t="s">
        <v>218</v>
      </c>
      <c r="AA443" s="268" t="s">
        <v>218</v>
      </c>
      <c r="AB443" s="268" t="s">
        <v>218</v>
      </c>
      <c r="AC443" s="269" t="s">
        <v>219</v>
      </c>
      <c r="AD443" s="269" t="s">
        <v>218</v>
      </c>
      <c r="AE443" s="269" t="s">
        <v>219</v>
      </c>
      <c r="AF443" s="268">
        <v>0</v>
      </c>
      <c r="AG443" s="239">
        <v>1</v>
      </c>
      <c r="AH443" s="239"/>
      <c r="AI443" s="239">
        <v>1</v>
      </c>
      <c r="AJ443" s="239">
        <v>1</v>
      </c>
    </row>
    <row r="444" spans="1:36" s="81" customFormat="1" ht="32.25" customHeight="1" x14ac:dyDescent="0.3">
      <c r="A444" s="80">
        <v>437</v>
      </c>
      <c r="B444" s="84" t="s">
        <v>196</v>
      </c>
      <c r="D444" s="240" t="s">
        <v>1371</v>
      </c>
      <c r="E444" s="239" t="s">
        <v>1362</v>
      </c>
      <c r="F444" s="239"/>
      <c r="G444" s="277" t="s">
        <v>245</v>
      </c>
      <c r="H444" s="84" t="s">
        <v>1129</v>
      </c>
      <c r="I444" s="239" t="s">
        <v>886</v>
      </c>
      <c r="J444" s="118" t="s">
        <v>904</v>
      </c>
      <c r="K444" s="118"/>
      <c r="L444" s="239"/>
      <c r="M444" s="282">
        <v>1917</v>
      </c>
      <c r="N444" s="239" t="s">
        <v>893</v>
      </c>
      <c r="O444" s="282">
        <v>5</v>
      </c>
      <c r="P444" s="239">
        <v>0</v>
      </c>
      <c r="Q444" s="282">
        <v>2</v>
      </c>
      <c r="R444" s="239">
        <v>35</v>
      </c>
      <c r="S444" s="266">
        <f t="shared" si="11"/>
        <v>2573.6</v>
      </c>
      <c r="T444" s="267">
        <v>2573.6</v>
      </c>
      <c r="U444" s="267">
        <v>2195.9</v>
      </c>
      <c r="V444" s="267">
        <v>192.39999999999998</v>
      </c>
      <c r="W444" s="268" t="s">
        <v>218</v>
      </c>
      <c r="X444" s="268" t="s">
        <v>218</v>
      </c>
      <c r="Y444" s="269" t="s">
        <v>219</v>
      </c>
      <c r="Z444" s="270" t="s">
        <v>218</v>
      </c>
      <c r="AA444" s="268" t="s">
        <v>218</v>
      </c>
      <c r="AB444" s="268" t="s">
        <v>218</v>
      </c>
      <c r="AC444" s="269" t="s">
        <v>218</v>
      </c>
      <c r="AD444" s="269" t="s">
        <v>218</v>
      </c>
      <c r="AE444" s="269" t="s">
        <v>219</v>
      </c>
      <c r="AF444" s="268">
        <v>0</v>
      </c>
      <c r="AG444" s="239" t="s">
        <v>928</v>
      </c>
      <c r="AH444" s="239"/>
      <c r="AI444" s="239">
        <v>0</v>
      </c>
      <c r="AJ444" s="239">
        <v>0</v>
      </c>
    </row>
    <row r="445" spans="1:36" s="81" customFormat="1" ht="32.25" customHeight="1" x14ac:dyDescent="0.3">
      <c r="A445" s="5">
        <v>438</v>
      </c>
      <c r="B445" s="84" t="s">
        <v>196</v>
      </c>
      <c r="D445" s="240" t="s">
        <v>1371</v>
      </c>
      <c r="E445" s="239">
        <v>62</v>
      </c>
      <c r="F445" s="239"/>
      <c r="G445" s="277" t="s">
        <v>245</v>
      </c>
      <c r="H445" s="84" t="s">
        <v>1130</v>
      </c>
      <c r="I445" s="239" t="s">
        <v>886</v>
      </c>
      <c r="J445" s="118" t="s">
        <v>1358</v>
      </c>
      <c r="K445" s="118" t="s">
        <v>922</v>
      </c>
      <c r="L445" s="239"/>
      <c r="M445" s="282">
        <v>1902</v>
      </c>
      <c r="N445" s="239" t="s">
        <v>893</v>
      </c>
      <c r="O445" s="282">
        <v>5</v>
      </c>
      <c r="P445" s="239">
        <v>0</v>
      </c>
      <c r="Q445" s="282">
        <v>1</v>
      </c>
      <c r="R445" s="239">
        <v>15</v>
      </c>
      <c r="S445" s="266">
        <f t="shared" si="11"/>
        <v>1101.2</v>
      </c>
      <c r="T445" s="267">
        <v>1101.2</v>
      </c>
      <c r="U445" s="267">
        <v>1007.6</v>
      </c>
      <c r="V445" s="267">
        <v>0</v>
      </c>
      <c r="W445" s="268" t="s">
        <v>218</v>
      </c>
      <c r="X445" s="268" t="s">
        <v>218</v>
      </c>
      <c r="Y445" s="269" t="s">
        <v>219</v>
      </c>
      <c r="Z445" s="270" t="s">
        <v>218</v>
      </c>
      <c r="AA445" s="268" t="s">
        <v>218</v>
      </c>
      <c r="AB445" s="268" t="s">
        <v>218</v>
      </c>
      <c r="AC445" s="269" t="s">
        <v>218</v>
      </c>
      <c r="AD445" s="269" t="s">
        <v>218</v>
      </c>
      <c r="AE445" s="269" t="s">
        <v>219</v>
      </c>
      <c r="AF445" s="268">
        <v>0</v>
      </c>
      <c r="AG445" s="239">
        <v>1</v>
      </c>
      <c r="AH445" s="239"/>
      <c r="AI445" s="239">
        <v>0</v>
      </c>
      <c r="AJ445" s="239">
        <v>0</v>
      </c>
    </row>
    <row r="446" spans="1:36" s="81" customFormat="1" ht="32.25" customHeight="1" x14ac:dyDescent="0.3">
      <c r="A446" s="80">
        <v>439</v>
      </c>
      <c r="B446" s="84" t="s">
        <v>196</v>
      </c>
      <c r="D446" s="240" t="s">
        <v>1371</v>
      </c>
      <c r="E446" s="239">
        <v>83</v>
      </c>
      <c r="F446" s="239"/>
      <c r="G446" s="277" t="s">
        <v>245</v>
      </c>
      <c r="H446" s="84" t="s">
        <v>1131</v>
      </c>
      <c r="I446" s="239" t="s">
        <v>886</v>
      </c>
      <c r="J446" s="118" t="s">
        <v>903</v>
      </c>
      <c r="K446" s="118"/>
      <c r="L446" s="239"/>
      <c r="M446" s="282">
        <v>1896</v>
      </c>
      <c r="N446" s="239" t="s">
        <v>893</v>
      </c>
      <c r="O446" s="282">
        <v>2</v>
      </c>
      <c r="P446" s="239">
        <v>0</v>
      </c>
      <c r="Q446" s="282">
        <v>3</v>
      </c>
      <c r="R446" s="239">
        <v>8</v>
      </c>
      <c r="S446" s="266">
        <f t="shared" si="11"/>
        <v>535.4</v>
      </c>
      <c r="T446" s="267">
        <v>535.4</v>
      </c>
      <c r="U446" s="267">
        <v>420</v>
      </c>
      <c r="V446" s="267">
        <v>0</v>
      </c>
      <c r="W446" s="268" t="s">
        <v>218</v>
      </c>
      <c r="X446" s="268" t="s">
        <v>218</v>
      </c>
      <c r="Y446" s="269" t="s">
        <v>218</v>
      </c>
      <c r="Z446" s="270" t="s">
        <v>218</v>
      </c>
      <c r="AA446" s="268" t="s">
        <v>218</v>
      </c>
      <c r="AB446" s="268" t="s">
        <v>218</v>
      </c>
      <c r="AC446" s="269" t="s">
        <v>219</v>
      </c>
      <c r="AD446" s="269" t="s">
        <v>218</v>
      </c>
      <c r="AE446" s="269" t="s">
        <v>219</v>
      </c>
      <c r="AF446" s="268">
        <v>0</v>
      </c>
      <c r="AG446" s="239" t="s">
        <v>444</v>
      </c>
      <c r="AH446" s="239"/>
      <c r="AI446" s="239">
        <v>1</v>
      </c>
      <c r="AJ446" s="239">
        <v>1</v>
      </c>
    </row>
    <row r="447" spans="1:36" s="81" customFormat="1" ht="32.25" customHeight="1" x14ac:dyDescent="0.3">
      <c r="A447" s="5">
        <v>440</v>
      </c>
      <c r="B447" s="84" t="s">
        <v>196</v>
      </c>
      <c r="D447" s="240" t="s">
        <v>1371</v>
      </c>
      <c r="E447" s="239">
        <v>84</v>
      </c>
      <c r="F447" s="239"/>
      <c r="G447" s="239" t="s">
        <v>1356</v>
      </c>
      <c r="H447" s="84" t="s">
        <v>1132</v>
      </c>
      <c r="I447" s="239" t="s">
        <v>886</v>
      </c>
      <c r="J447" s="118" t="s">
        <v>903</v>
      </c>
      <c r="K447" s="118" t="s">
        <v>922</v>
      </c>
      <c r="L447" s="239"/>
      <c r="M447" s="282">
        <v>1902</v>
      </c>
      <c r="N447" s="239" t="s">
        <v>893</v>
      </c>
      <c r="O447" s="282">
        <v>5</v>
      </c>
      <c r="P447" s="239">
        <v>0</v>
      </c>
      <c r="Q447" s="282">
        <v>1</v>
      </c>
      <c r="R447" s="239">
        <v>17</v>
      </c>
      <c r="S447" s="266">
        <f t="shared" si="11"/>
        <v>885.4</v>
      </c>
      <c r="T447" s="267">
        <v>885.4</v>
      </c>
      <c r="U447" s="267">
        <v>813.3</v>
      </c>
      <c r="V447" s="267">
        <v>0</v>
      </c>
      <c r="W447" s="268" t="s">
        <v>218</v>
      </c>
      <c r="X447" s="268" t="s">
        <v>218</v>
      </c>
      <c r="Y447" s="269" t="s">
        <v>218</v>
      </c>
      <c r="Z447" s="270" t="s">
        <v>218</v>
      </c>
      <c r="AA447" s="268" t="s">
        <v>218</v>
      </c>
      <c r="AB447" s="268" t="s">
        <v>218</v>
      </c>
      <c r="AC447" s="269" t="s">
        <v>219</v>
      </c>
      <c r="AD447" s="269" t="s">
        <v>218</v>
      </c>
      <c r="AE447" s="269" t="s">
        <v>219</v>
      </c>
      <c r="AF447" s="268">
        <v>0</v>
      </c>
      <c r="AG447" s="239">
        <v>1</v>
      </c>
      <c r="AH447" s="239"/>
      <c r="AI447" s="239">
        <v>1</v>
      </c>
      <c r="AJ447" s="239">
        <v>1</v>
      </c>
    </row>
    <row r="448" spans="1:36" s="81" customFormat="1" ht="32.25" customHeight="1" x14ac:dyDescent="0.3">
      <c r="A448" s="80">
        <v>441</v>
      </c>
      <c r="B448" s="84" t="s">
        <v>196</v>
      </c>
      <c r="D448" s="240" t="s">
        <v>1371</v>
      </c>
      <c r="E448" s="239">
        <v>86</v>
      </c>
      <c r="F448" s="239"/>
      <c r="G448" s="239" t="s">
        <v>245</v>
      </c>
      <c r="H448" s="84" t="s">
        <v>1133</v>
      </c>
      <c r="I448" s="239" t="s">
        <v>886</v>
      </c>
      <c r="J448" s="118" t="s">
        <v>904</v>
      </c>
      <c r="K448" s="118"/>
      <c r="L448" s="118"/>
      <c r="M448" s="282"/>
      <c r="N448" s="239" t="s">
        <v>893</v>
      </c>
      <c r="O448" s="239"/>
      <c r="P448" s="239">
        <v>0</v>
      </c>
      <c r="Q448" s="239"/>
      <c r="R448" s="239">
        <v>25</v>
      </c>
      <c r="S448" s="266">
        <f t="shared" si="11"/>
        <v>1885.8</v>
      </c>
      <c r="T448" s="267">
        <v>1885.8</v>
      </c>
      <c r="U448" s="267">
        <v>1673.7</v>
      </c>
      <c r="V448" s="267">
        <v>82.4</v>
      </c>
      <c r="W448" s="268" t="s">
        <v>218</v>
      </c>
      <c r="X448" s="268" t="s">
        <v>218</v>
      </c>
      <c r="Y448" s="269" t="s">
        <v>218</v>
      </c>
      <c r="Z448" s="270" t="s">
        <v>218</v>
      </c>
      <c r="AA448" s="268" t="s">
        <v>218</v>
      </c>
      <c r="AB448" s="268" t="s">
        <v>218</v>
      </c>
      <c r="AC448" s="269" t="s">
        <v>219</v>
      </c>
      <c r="AD448" s="269" t="s">
        <v>218</v>
      </c>
      <c r="AE448" s="269" t="s">
        <v>219</v>
      </c>
      <c r="AF448" s="268">
        <v>0</v>
      </c>
      <c r="AG448" s="239">
        <v>1</v>
      </c>
      <c r="AH448" s="239"/>
      <c r="AI448" s="239">
        <v>1</v>
      </c>
      <c r="AJ448" s="239">
        <v>1</v>
      </c>
    </row>
    <row r="449" spans="1:36" s="81" customFormat="1" ht="32.25" customHeight="1" x14ac:dyDescent="0.3">
      <c r="A449" s="5">
        <v>442</v>
      </c>
      <c r="B449" s="84" t="s">
        <v>196</v>
      </c>
      <c r="D449" s="240" t="s">
        <v>1371</v>
      </c>
      <c r="E449" s="239">
        <v>94</v>
      </c>
      <c r="F449" s="239"/>
      <c r="G449" s="239" t="s">
        <v>245</v>
      </c>
      <c r="H449" s="84" t="s">
        <v>1134</v>
      </c>
      <c r="I449" s="239" t="s">
        <v>886</v>
      </c>
      <c r="J449" s="118" t="s">
        <v>903</v>
      </c>
      <c r="K449" s="118"/>
      <c r="L449" s="118"/>
      <c r="M449" s="282">
        <v>1930</v>
      </c>
      <c r="N449" s="239" t="s">
        <v>893</v>
      </c>
      <c r="O449" s="282">
        <v>3</v>
      </c>
      <c r="P449" s="239">
        <v>0</v>
      </c>
      <c r="Q449" s="282">
        <v>3</v>
      </c>
      <c r="R449" s="239">
        <v>18</v>
      </c>
      <c r="S449" s="266">
        <f t="shared" si="11"/>
        <v>1124</v>
      </c>
      <c r="T449" s="267">
        <v>1124</v>
      </c>
      <c r="U449" s="267">
        <v>1124</v>
      </c>
      <c r="V449" s="267">
        <v>0</v>
      </c>
      <c r="W449" s="268" t="s">
        <v>218</v>
      </c>
      <c r="X449" s="268" t="s">
        <v>218</v>
      </c>
      <c r="Y449" s="269" t="s">
        <v>218</v>
      </c>
      <c r="Z449" s="270" t="s">
        <v>218</v>
      </c>
      <c r="AA449" s="268" t="s">
        <v>218</v>
      </c>
      <c r="AB449" s="268" t="s">
        <v>218</v>
      </c>
      <c r="AC449" s="269" t="s">
        <v>219</v>
      </c>
      <c r="AD449" s="269" t="s">
        <v>218</v>
      </c>
      <c r="AE449" s="269" t="s">
        <v>219</v>
      </c>
      <c r="AF449" s="268">
        <v>0</v>
      </c>
      <c r="AG449" s="239" t="s">
        <v>444</v>
      </c>
      <c r="AH449" s="239"/>
      <c r="AI449" s="239">
        <v>1</v>
      </c>
      <c r="AJ449" s="239">
        <v>1</v>
      </c>
    </row>
    <row r="450" spans="1:36" s="81" customFormat="1" ht="32.25" customHeight="1" x14ac:dyDescent="0.3">
      <c r="A450" s="80">
        <v>443</v>
      </c>
      <c r="B450" s="84" t="s">
        <v>196</v>
      </c>
      <c r="D450" s="240" t="s">
        <v>1371</v>
      </c>
      <c r="E450" s="239">
        <v>98</v>
      </c>
      <c r="F450" s="239"/>
      <c r="G450" s="239" t="s">
        <v>245</v>
      </c>
      <c r="H450" s="84" t="s">
        <v>1135</v>
      </c>
      <c r="I450" s="239" t="s">
        <v>886</v>
      </c>
      <c r="J450" s="118" t="s">
        <v>904</v>
      </c>
      <c r="K450" s="118"/>
      <c r="L450" s="118"/>
      <c r="M450" s="282">
        <v>1917</v>
      </c>
      <c r="N450" s="239" t="s">
        <v>893</v>
      </c>
      <c r="O450" s="282">
        <v>4</v>
      </c>
      <c r="P450" s="239">
        <v>0</v>
      </c>
      <c r="Q450" s="282">
        <v>2</v>
      </c>
      <c r="R450" s="239">
        <v>24</v>
      </c>
      <c r="S450" s="266">
        <f t="shared" si="11"/>
        <v>1672.8</v>
      </c>
      <c r="T450" s="267">
        <v>1672.8</v>
      </c>
      <c r="U450" s="267">
        <v>1609</v>
      </c>
      <c r="V450" s="267">
        <v>0</v>
      </c>
      <c r="W450" s="268" t="s">
        <v>218</v>
      </c>
      <c r="X450" s="268" t="s">
        <v>218</v>
      </c>
      <c r="Y450" s="269" t="s">
        <v>218</v>
      </c>
      <c r="Z450" s="270" t="s">
        <v>218</v>
      </c>
      <c r="AA450" s="268" t="s">
        <v>218</v>
      </c>
      <c r="AB450" s="268" t="s">
        <v>218</v>
      </c>
      <c r="AC450" s="269" t="s">
        <v>219</v>
      </c>
      <c r="AD450" s="269" t="s">
        <v>218</v>
      </c>
      <c r="AE450" s="269" t="s">
        <v>219</v>
      </c>
      <c r="AF450" s="268">
        <v>0</v>
      </c>
      <c r="AG450" s="239">
        <v>1</v>
      </c>
      <c r="AH450" s="239"/>
      <c r="AI450" s="239">
        <v>1</v>
      </c>
      <c r="AJ450" s="239">
        <v>1</v>
      </c>
    </row>
    <row r="451" spans="1:36" s="81" customFormat="1" ht="32.25" customHeight="1" x14ac:dyDescent="0.3">
      <c r="A451" s="5">
        <v>444</v>
      </c>
      <c r="B451" s="84" t="s">
        <v>196</v>
      </c>
      <c r="D451" s="240" t="s">
        <v>1373</v>
      </c>
      <c r="E451" s="239">
        <v>59</v>
      </c>
      <c r="F451" s="239"/>
      <c r="G451" s="239" t="s">
        <v>245</v>
      </c>
      <c r="H451" s="84" t="s">
        <v>1136</v>
      </c>
      <c r="I451" s="239" t="s">
        <v>886</v>
      </c>
      <c r="J451" s="239" t="s">
        <v>887</v>
      </c>
      <c r="K451" s="118"/>
      <c r="L451" s="239"/>
      <c r="M451" s="282">
        <v>1913</v>
      </c>
      <c r="N451" s="239" t="s">
        <v>893</v>
      </c>
      <c r="O451" s="239">
        <v>6</v>
      </c>
      <c r="P451" s="239">
        <v>0</v>
      </c>
      <c r="Q451" s="239">
        <v>2</v>
      </c>
      <c r="R451" s="239">
        <v>37</v>
      </c>
      <c r="S451" s="266">
        <f t="shared" si="11"/>
        <v>3249.11</v>
      </c>
      <c r="T451" s="267">
        <v>3249.11</v>
      </c>
      <c r="U451" s="267">
        <v>2945.19</v>
      </c>
      <c r="V451" s="267">
        <v>0</v>
      </c>
      <c r="W451" s="268" t="s">
        <v>218</v>
      </c>
      <c r="X451" s="268" t="s">
        <v>218</v>
      </c>
      <c r="Y451" s="269" t="s">
        <v>219</v>
      </c>
      <c r="Z451" s="270" t="s">
        <v>218</v>
      </c>
      <c r="AA451" s="268" t="s">
        <v>218</v>
      </c>
      <c r="AB451" s="268" t="s">
        <v>218</v>
      </c>
      <c r="AC451" s="269" t="s">
        <v>218</v>
      </c>
      <c r="AD451" s="269" t="s">
        <v>218</v>
      </c>
      <c r="AE451" s="269" t="s">
        <v>219</v>
      </c>
      <c r="AF451" s="268">
        <v>0</v>
      </c>
      <c r="AG451" s="239">
        <v>2</v>
      </c>
      <c r="AH451" s="239"/>
      <c r="AI451" s="239">
        <v>0</v>
      </c>
      <c r="AJ451" s="239">
        <v>0</v>
      </c>
    </row>
    <row r="452" spans="1:36" s="81" customFormat="1" ht="32.25" customHeight="1" x14ac:dyDescent="0.3">
      <c r="A452" s="80">
        <v>445</v>
      </c>
      <c r="B452" s="84" t="s">
        <v>196</v>
      </c>
      <c r="D452" s="240" t="s">
        <v>1373</v>
      </c>
      <c r="E452" s="239">
        <v>63</v>
      </c>
      <c r="F452" s="239"/>
      <c r="G452" s="239" t="s">
        <v>245</v>
      </c>
      <c r="H452" s="84" t="s">
        <v>1137</v>
      </c>
      <c r="I452" s="239" t="s">
        <v>886</v>
      </c>
      <c r="J452" s="239"/>
      <c r="K452" s="118"/>
      <c r="L452" s="239"/>
      <c r="M452" s="239">
        <v>1905</v>
      </c>
      <c r="N452" s="239" t="s">
        <v>893</v>
      </c>
      <c r="O452" s="239">
        <v>3</v>
      </c>
      <c r="P452" s="239">
        <v>0</v>
      </c>
      <c r="Q452" s="239">
        <v>1</v>
      </c>
      <c r="R452" s="239">
        <v>4</v>
      </c>
      <c r="S452" s="266">
        <f t="shared" si="11"/>
        <v>380.3</v>
      </c>
      <c r="T452" s="267">
        <v>380.3</v>
      </c>
      <c r="U452" s="267">
        <v>277.60000000000002</v>
      </c>
      <c r="V452" s="267">
        <v>64.800000000000011</v>
      </c>
      <c r="W452" s="268" t="s">
        <v>218</v>
      </c>
      <c r="X452" s="268" t="s">
        <v>218</v>
      </c>
      <c r="Y452" s="269" t="s">
        <v>219</v>
      </c>
      <c r="Z452" s="270" t="s">
        <v>218</v>
      </c>
      <c r="AA452" s="268" t="s">
        <v>218</v>
      </c>
      <c r="AB452" s="268" t="s">
        <v>218</v>
      </c>
      <c r="AC452" s="269" t="s">
        <v>218</v>
      </c>
      <c r="AD452" s="269" t="s">
        <v>218</v>
      </c>
      <c r="AE452" s="269" t="s">
        <v>219</v>
      </c>
      <c r="AF452" s="268">
        <v>0</v>
      </c>
      <c r="AG452" s="239">
        <v>1</v>
      </c>
      <c r="AH452" s="239"/>
      <c r="AI452" s="239">
        <v>0</v>
      </c>
      <c r="AJ452" s="239">
        <v>0</v>
      </c>
    </row>
    <row r="453" spans="1:36" s="81" customFormat="1" ht="32.25" customHeight="1" x14ac:dyDescent="0.3">
      <c r="A453" s="5">
        <v>446</v>
      </c>
      <c r="B453" s="84" t="s">
        <v>196</v>
      </c>
      <c r="D453" s="240" t="s">
        <v>1373</v>
      </c>
      <c r="E453" s="239">
        <v>63</v>
      </c>
      <c r="F453" s="239"/>
      <c r="G453" s="239" t="s">
        <v>1356</v>
      </c>
      <c r="H453" s="84" t="s">
        <v>1138</v>
      </c>
      <c r="I453" s="239" t="s">
        <v>886</v>
      </c>
      <c r="J453" s="239"/>
      <c r="K453" s="118"/>
      <c r="L453" s="239"/>
      <c r="M453" s="239">
        <v>1890</v>
      </c>
      <c r="N453" s="239" t="s">
        <v>893</v>
      </c>
      <c r="O453" s="239">
        <v>2</v>
      </c>
      <c r="P453" s="239">
        <v>0</v>
      </c>
      <c r="Q453" s="239">
        <v>1</v>
      </c>
      <c r="R453" s="239">
        <v>5</v>
      </c>
      <c r="S453" s="266">
        <f t="shared" si="11"/>
        <v>302.39999999999998</v>
      </c>
      <c r="T453" s="267">
        <v>302.39999999999998</v>
      </c>
      <c r="U453" s="267">
        <v>200</v>
      </c>
      <c r="V453" s="267">
        <v>102.4</v>
      </c>
      <c r="W453" s="268" t="s">
        <v>218</v>
      </c>
      <c r="X453" s="268" t="s">
        <v>218</v>
      </c>
      <c r="Y453" s="269" t="s">
        <v>219</v>
      </c>
      <c r="Z453" s="270" t="s">
        <v>218</v>
      </c>
      <c r="AA453" s="268" t="s">
        <v>218</v>
      </c>
      <c r="AB453" s="268" t="s">
        <v>218</v>
      </c>
      <c r="AC453" s="269" t="s">
        <v>218</v>
      </c>
      <c r="AD453" s="269" t="s">
        <v>218</v>
      </c>
      <c r="AE453" s="269" t="s">
        <v>219</v>
      </c>
      <c r="AF453" s="268">
        <v>0</v>
      </c>
      <c r="AG453" s="239">
        <v>0</v>
      </c>
      <c r="AH453" s="239"/>
      <c r="AI453" s="239">
        <v>0</v>
      </c>
      <c r="AJ453" s="239">
        <v>0</v>
      </c>
    </row>
    <row r="454" spans="1:36" s="81" customFormat="1" ht="32.25" customHeight="1" x14ac:dyDescent="0.3">
      <c r="A454" s="80">
        <v>447</v>
      </c>
      <c r="B454" s="84" t="s">
        <v>196</v>
      </c>
      <c r="D454" s="240" t="s">
        <v>1374</v>
      </c>
      <c r="E454" s="239">
        <v>10</v>
      </c>
      <c r="F454" s="239"/>
      <c r="G454" s="239" t="s">
        <v>245</v>
      </c>
      <c r="H454" s="84" t="s">
        <v>1139</v>
      </c>
      <c r="I454" s="239" t="s">
        <v>886</v>
      </c>
      <c r="J454" s="239" t="s">
        <v>887</v>
      </c>
      <c r="K454" s="118"/>
      <c r="L454" s="239"/>
      <c r="M454" s="282">
        <v>1950</v>
      </c>
      <c r="N454" s="239" t="s">
        <v>893</v>
      </c>
      <c r="O454" s="239">
        <v>2</v>
      </c>
      <c r="P454" s="239">
        <v>0</v>
      </c>
      <c r="Q454" s="239">
        <v>1</v>
      </c>
      <c r="R454" s="239">
        <v>8</v>
      </c>
      <c r="S454" s="266">
        <f t="shared" si="11"/>
        <v>478.1</v>
      </c>
      <c r="T454" s="267">
        <v>478.1</v>
      </c>
      <c r="U454" s="267">
        <v>380.5</v>
      </c>
      <c r="V454" s="267">
        <v>0</v>
      </c>
      <c r="W454" s="268" t="s">
        <v>218</v>
      </c>
      <c r="X454" s="268" t="s">
        <v>218</v>
      </c>
      <c r="Y454" s="269" t="s">
        <v>219</v>
      </c>
      <c r="Z454" s="270" t="s">
        <v>218</v>
      </c>
      <c r="AA454" s="268" t="s">
        <v>218</v>
      </c>
      <c r="AB454" s="268" t="s">
        <v>218</v>
      </c>
      <c r="AC454" s="269" t="s">
        <v>218</v>
      </c>
      <c r="AD454" s="269" t="s">
        <v>218</v>
      </c>
      <c r="AE454" s="269" t="s">
        <v>219</v>
      </c>
      <c r="AF454" s="268">
        <v>0</v>
      </c>
      <c r="AG454" s="239">
        <v>1</v>
      </c>
      <c r="AH454" s="239"/>
      <c r="AI454" s="239">
        <v>0</v>
      </c>
      <c r="AJ454" s="239">
        <v>0</v>
      </c>
    </row>
    <row r="455" spans="1:36" s="81" customFormat="1" ht="32.25" customHeight="1" x14ac:dyDescent="0.3">
      <c r="A455" s="5">
        <v>448</v>
      </c>
      <c r="B455" s="84" t="s">
        <v>196</v>
      </c>
      <c r="D455" s="240" t="s">
        <v>1374</v>
      </c>
      <c r="E455" s="239">
        <v>12</v>
      </c>
      <c r="F455" s="239"/>
      <c r="G455" s="239" t="s">
        <v>245</v>
      </c>
      <c r="H455" s="84" t="s">
        <v>1140</v>
      </c>
      <c r="I455" s="239" t="s">
        <v>886</v>
      </c>
      <c r="J455" s="239" t="s">
        <v>929</v>
      </c>
      <c r="K455" s="118" t="s">
        <v>930</v>
      </c>
      <c r="L455" s="239"/>
      <c r="M455" s="282">
        <v>1949</v>
      </c>
      <c r="N455" s="239" t="s">
        <v>893</v>
      </c>
      <c r="O455" s="239">
        <v>2</v>
      </c>
      <c r="P455" s="239">
        <v>0</v>
      </c>
      <c r="Q455" s="239">
        <v>1</v>
      </c>
      <c r="R455" s="239">
        <v>4</v>
      </c>
      <c r="S455" s="266">
        <f t="shared" si="11"/>
        <v>718.3</v>
      </c>
      <c r="T455" s="267">
        <v>718.3</v>
      </c>
      <c r="U455" s="267">
        <v>714.7</v>
      </c>
      <c r="V455" s="267">
        <v>0</v>
      </c>
      <c r="W455" s="268" t="s">
        <v>218</v>
      </c>
      <c r="X455" s="268" t="s">
        <v>218</v>
      </c>
      <c r="Y455" s="269" t="s">
        <v>219</v>
      </c>
      <c r="Z455" s="270" t="s">
        <v>218</v>
      </c>
      <c r="AA455" s="268" t="s">
        <v>218</v>
      </c>
      <c r="AB455" s="268" t="s">
        <v>218</v>
      </c>
      <c r="AC455" s="269" t="s">
        <v>218</v>
      </c>
      <c r="AD455" s="269" t="s">
        <v>218</v>
      </c>
      <c r="AE455" s="269" t="s">
        <v>219</v>
      </c>
      <c r="AF455" s="268">
        <v>0</v>
      </c>
      <c r="AG455" s="239">
        <v>1</v>
      </c>
      <c r="AH455" s="239"/>
      <c r="AI455" s="239">
        <v>0</v>
      </c>
      <c r="AJ455" s="239">
        <v>0</v>
      </c>
    </row>
    <row r="456" spans="1:36" s="81" customFormat="1" ht="32.25" customHeight="1" x14ac:dyDescent="0.3">
      <c r="A456" s="80">
        <v>449</v>
      </c>
      <c r="B456" s="84" t="s">
        <v>196</v>
      </c>
      <c r="D456" s="240" t="s">
        <v>1374</v>
      </c>
      <c r="E456" s="239">
        <v>3</v>
      </c>
      <c r="F456" s="239"/>
      <c r="G456" s="239" t="s">
        <v>245</v>
      </c>
      <c r="H456" s="84" t="s">
        <v>1141</v>
      </c>
      <c r="I456" s="239" t="s">
        <v>886</v>
      </c>
      <c r="J456" s="239" t="s">
        <v>887</v>
      </c>
      <c r="K456" s="118"/>
      <c r="L456" s="239"/>
      <c r="M456" s="282">
        <v>1951</v>
      </c>
      <c r="N456" s="239" t="s">
        <v>893</v>
      </c>
      <c r="O456" s="239">
        <v>2</v>
      </c>
      <c r="P456" s="239">
        <v>0</v>
      </c>
      <c r="Q456" s="239">
        <v>1</v>
      </c>
      <c r="R456" s="239">
        <v>8</v>
      </c>
      <c r="S456" s="266">
        <f t="shared" si="11"/>
        <v>474.6</v>
      </c>
      <c r="T456" s="267">
        <v>474.6</v>
      </c>
      <c r="U456" s="267">
        <v>454.9</v>
      </c>
      <c r="V456" s="267">
        <v>0</v>
      </c>
      <c r="W456" s="268" t="s">
        <v>218</v>
      </c>
      <c r="X456" s="268" t="s">
        <v>218</v>
      </c>
      <c r="Y456" s="269" t="s">
        <v>219</v>
      </c>
      <c r="Z456" s="270" t="s">
        <v>218</v>
      </c>
      <c r="AA456" s="268" t="s">
        <v>218</v>
      </c>
      <c r="AB456" s="268" t="s">
        <v>218</v>
      </c>
      <c r="AC456" s="269" t="s">
        <v>218</v>
      </c>
      <c r="AD456" s="269" t="s">
        <v>218</v>
      </c>
      <c r="AE456" s="269" t="s">
        <v>219</v>
      </c>
      <c r="AF456" s="268">
        <v>0</v>
      </c>
      <c r="AG456" s="239" t="s">
        <v>444</v>
      </c>
      <c r="AH456" s="239"/>
      <c r="AI456" s="239">
        <v>0</v>
      </c>
      <c r="AJ456" s="239">
        <v>0</v>
      </c>
    </row>
    <row r="457" spans="1:36" s="81" customFormat="1" ht="32.25" customHeight="1" x14ac:dyDescent="0.3">
      <c r="A457" s="5">
        <v>450</v>
      </c>
      <c r="B457" s="84" t="s">
        <v>196</v>
      </c>
      <c r="D457" s="240" t="s">
        <v>1374</v>
      </c>
      <c r="E457" s="239">
        <v>4</v>
      </c>
      <c r="F457" s="239"/>
      <c r="G457" s="239" t="s">
        <v>245</v>
      </c>
      <c r="H457" s="84" t="s">
        <v>1142</v>
      </c>
      <c r="I457" s="239" t="s">
        <v>886</v>
      </c>
      <c r="J457" s="239" t="s">
        <v>887</v>
      </c>
      <c r="K457" s="118"/>
      <c r="L457" s="239"/>
      <c r="M457" s="282">
        <v>1948</v>
      </c>
      <c r="N457" s="239" t="s">
        <v>889</v>
      </c>
      <c r="O457" s="239">
        <v>2</v>
      </c>
      <c r="P457" s="239">
        <v>0</v>
      </c>
      <c r="Q457" s="239">
        <v>1</v>
      </c>
      <c r="R457" s="239">
        <v>8</v>
      </c>
      <c r="S457" s="266">
        <f t="shared" si="11"/>
        <v>475.6</v>
      </c>
      <c r="T457" s="267">
        <v>475.6</v>
      </c>
      <c r="U457" s="267">
        <v>376.1</v>
      </c>
      <c r="V457" s="267">
        <v>0</v>
      </c>
      <c r="W457" s="268" t="s">
        <v>218</v>
      </c>
      <c r="X457" s="268" t="s">
        <v>218</v>
      </c>
      <c r="Y457" s="269" t="s">
        <v>219</v>
      </c>
      <c r="Z457" s="270" t="s">
        <v>218</v>
      </c>
      <c r="AA457" s="268" t="s">
        <v>218</v>
      </c>
      <c r="AB457" s="268" t="s">
        <v>218</v>
      </c>
      <c r="AC457" s="269" t="s">
        <v>218</v>
      </c>
      <c r="AD457" s="269" t="s">
        <v>218</v>
      </c>
      <c r="AE457" s="269" t="s">
        <v>219</v>
      </c>
      <c r="AF457" s="268">
        <v>0</v>
      </c>
      <c r="AG457" s="239">
        <v>1</v>
      </c>
      <c r="AH457" s="239"/>
      <c r="AI457" s="239">
        <v>0</v>
      </c>
      <c r="AJ457" s="239">
        <v>0</v>
      </c>
    </row>
    <row r="458" spans="1:36" s="81" customFormat="1" ht="32.25" customHeight="1" x14ac:dyDescent="0.3">
      <c r="A458" s="80">
        <v>451</v>
      </c>
      <c r="B458" s="84" t="s">
        <v>196</v>
      </c>
      <c r="D458" s="240" t="s">
        <v>1374</v>
      </c>
      <c r="E458" s="239">
        <v>6</v>
      </c>
      <c r="F458" s="239"/>
      <c r="G458" s="239" t="s">
        <v>245</v>
      </c>
      <c r="H458" s="84" t="s">
        <v>1143</v>
      </c>
      <c r="I458" s="239" t="s">
        <v>886</v>
      </c>
      <c r="J458" s="239" t="s">
        <v>887</v>
      </c>
      <c r="K458" s="118"/>
      <c r="L458" s="239"/>
      <c r="M458" s="282">
        <v>1948</v>
      </c>
      <c r="N458" s="239" t="s">
        <v>889</v>
      </c>
      <c r="O458" s="239">
        <v>2</v>
      </c>
      <c r="P458" s="239">
        <v>0</v>
      </c>
      <c r="Q458" s="239">
        <v>1</v>
      </c>
      <c r="R458" s="239">
        <v>8</v>
      </c>
      <c r="S458" s="266">
        <f t="shared" si="11"/>
        <v>583.5</v>
      </c>
      <c r="T458" s="267">
        <v>583.5</v>
      </c>
      <c r="U458" s="267">
        <v>446.7</v>
      </c>
      <c r="V458" s="267">
        <v>0</v>
      </c>
      <c r="W458" s="268" t="s">
        <v>218</v>
      </c>
      <c r="X458" s="268" t="s">
        <v>218</v>
      </c>
      <c r="Y458" s="269" t="s">
        <v>219</v>
      </c>
      <c r="Z458" s="270" t="s">
        <v>218</v>
      </c>
      <c r="AA458" s="268" t="s">
        <v>218</v>
      </c>
      <c r="AB458" s="268" t="s">
        <v>218</v>
      </c>
      <c r="AC458" s="269" t="s">
        <v>218</v>
      </c>
      <c r="AD458" s="269" t="s">
        <v>218</v>
      </c>
      <c r="AE458" s="269" t="s">
        <v>219</v>
      </c>
      <c r="AF458" s="268">
        <v>0</v>
      </c>
      <c r="AG458" s="239" t="s">
        <v>444</v>
      </c>
      <c r="AH458" s="239"/>
      <c r="AI458" s="239">
        <v>0</v>
      </c>
      <c r="AJ458" s="239">
        <v>0</v>
      </c>
    </row>
    <row r="459" spans="1:36" s="81" customFormat="1" ht="32.25" customHeight="1" x14ac:dyDescent="0.3">
      <c r="A459" s="5">
        <v>452</v>
      </c>
      <c r="B459" s="84" t="s">
        <v>196</v>
      </c>
      <c r="D459" s="240" t="s">
        <v>1374</v>
      </c>
      <c r="E459" s="239">
        <v>8</v>
      </c>
      <c r="F459" s="239"/>
      <c r="G459" s="239" t="s">
        <v>245</v>
      </c>
      <c r="H459" s="84" t="s">
        <v>1144</v>
      </c>
      <c r="I459" s="239" t="s">
        <v>886</v>
      </c>
      <c r="J459" s="239" t="s">
        <v>887</v>
      </c>
      <c r="K459" s="118"/>
      <c r="L459" s="239"/>
      <c r="M459" s="282">
        <v>1950</v>
      </c>
      <c r="N459" s="239" t="s">
        <v>889</v>
      </c>
      <c r="O459" s="239">
        <v>2</v>
      </c>
      <c r="P459" s="239">
        <v>0</v>
      </c>
      <c r="Q459" s="239">
        <v>1</v>
      </c>
      <c r="R459" s="239">
        <v>8</v>
      </c>
      <c r="S459" s="266">
        <f t="shared" si="11"/>
        <v>585.4</v>
      </c>
      <c r="T459" s="267">
        <v>585.4</v>
      </c>
      <c r="U459" s="267">
        <v>456.1</v>
      </c>
      <c r="V459" s="267">
        <v>0</v>
      </c>
      <c r="W459" s="268" t="s">
        <v>218</v>
      </c>
      <c r="X459" s="268" t="s">
        <v>218</v>
      </c>
      <c r="Y459" s="269" t="s">
        <v>219</v>
      </c>
      <c r="Z459" s="270" t="s">
        <v>218</v>
      </c>
      <c r="AA459" s="268" t="s">
        <v>218</v>
      </c>
      <c r="AB459" s="268" t="s">
        <v>218</v>
      </c>
      <c r="AC459" s="269" t="s">
        <v>218</v>
      </c>
      <c r="AD459" s="269" t="s">
        <v>218</v>
      </c>
      <c r="AE459" s="269" t="s">
        <v>219</v>
      </c>
      <c r="AF459" s="268">
        <v>0</v>
      </c>
      <c r="AG459" s="239">
        <v>1</v>
      </c>
      <c r="AH459" s="239"/>
      <c r="AI459" s="239">
        <v>0</v>
      </c>
      <c r="AJ459" s="239">
        <v>0</v>
      </c>
    </row>
    <row r="460" spans="1:36" s="81" customFormat="1" ht="32.25" customHeight="1" x14ac:dyDescent="0.3">
      <c r="A460" s="80">
        <v>453</v>
      </c>
      <c r="B460" s="84" t="s">
        <v>196</v>
      </c>
      <c r="D460" s="240" t="s">
        <v>1374</v>
      </c>
      <c r="E460" s="239">
        <v>9</v>
      </c>
      <c r="F460" s="239"/>
      <c r="G460" s="239" t="s">
        <v>245</v>
      </c>
      <c r="H460" s="84" t="s">
        <v>1145</v>
      </c>
      <c r="I460" s="239" t="s">
        <v>886</v>
      </c>
      <c r="J460" s="239" t="s">
        <v>925</v>
      </c>
      <c r="K460" s="118"/>
      <c r="L460" s="239"/>
      <c r="M460" s="282">
        <v>1951</v>
      </c>
      <c r="N460" s="239" t="s">
        <v>893</v>
      </c>
      <c r="O460" s="239">
        <v>2</v>
      </c>
      <c r="P460" s="239">
        <v>0</v>
      </c>
      <c r="Q460" s="239">
        <v>1</v>
      </c>
      <c r="R460" s="239">
        <v>8</v>
      </c>
      <c r="S460" s="266">
        <f t="shared" si="11"/>
        <v>587.29999999999995</v>
      </c>
      <c r="T460" s="267">
        <v>587.29999999999995</v>
      </c>
      <c r="U460" s="267">
        <v>452.4</v>
      </c>
      <c r="V460" s="267">
        <v>0</v>
      </c>
      <c r="W460" s="268" t="s">
        <v>218</v>
      </c>
      <c r="X460" s="268" t="s">
        <v>218</v>
      </c>
      <c r="Y460" s="269" t="s">
        <v>219</v>
      </c>
      <c r="Z460" s="270" t="s">
        <v>218</v>
      </c>
      <c r="AA460" s="268" t="s">
        <v>218</v>
      </c>
      <c r="AB460" s="268" t="s">
        <v>218</v>
      </c>
      <c r="AC460" s="269" t="s">
        <v>218</v>
      </c>
      <c r="AD460" s="269" t="s">
        <v>218</v>
      </c>
      <c r="AE460" s="269" t="s">
        <v>219</v>
      </c>
      <c r="AF460" s="268">
        <v>0</v>
      </c>
      <c r="AG460" s="239">
        <v>1</v>
      </c>
      <c r="AH460" s="239"/>
      <c r="AI460" s="239">
        <v>0</v>
      </c>
      <c r="AJ460" s="239">
        <v>0</v>
      </c>
    </row>
    <row r="461" spans="1:36" s="81" customFormat="1" ht="32.25" customHeight="1" x14ac:dyDescent="0.3">
      <c r="A461" s="5">
        <v>454</v>
      </c>
      <c r="B461" s="84" t="s">
        <v>196</v>
      </c>
      <c r="D461" s="240" t="s">
        <v>1375</v>
      </c>
      <c r="E461" s="239">
        <v>12</v>
      </c>
      <c r="F461" s="239"/>
      <c r="G461" s="239" t="s">
        <v>245</v>
      </c>
      <c r="H461" s="84" t="s">
        <v>1146</v>
      </c>
      <c r="I461" s="239" t="s">
        <v>886</v>
      </c>
      <c r="J461" s="239" t="s">
        <v>887</v>
      </c>
      <c r="K461" s="118"/>
      <c r="L461" s="239"/>
      <c r="M461" s="282">
        <v>1950</v>
      </c>
      <c r="N461" s="239" t="s">
        <v>893</v>
      </c>
      <c r="O461" s="239">
        <v>2</v>
      </c>
      <c r="P461" s="239">
        <v>0</v>
      </c>
      <c r="Q461" s="239">
        <v>1</v>
      </c>
      <c r="R461" s="239">
        <v>7</v>
      </c>
      <c r="S461" s="266">
        <f t="shared" si="11"/>
        <v>582.4</v>
      </c>
      <c r="T461" s="267">
        <v>582.4</v>
      </c>
      <c r="U461" s="267">
        <v>457.1</v>
      </c>
      <c r="V461" s="267">
        <v>0</v>
      </c>
      <c r="W461" s="268" t="s">
        <v>218</v>
      </c>
      <c r="X461" s="268" t="s">
        <v>218</v>
      </c>
      <c r="Y461" s="269" t="s">
        <v>219</v>
      </c>
      <c r="Z461" s="270" t="s">
        <v>218</v>
      </c>
      <c r="AA461" s="268" t="s">
        <v>218</v>
      </c>
      <c r="AB461" s="268" t="s">
        <v>218</v>
      </c>
      <c r="AC461" s="269" t="s">
        <v>218</v>
      </c>
      <c r="AD461" s="269" t="s">
        <v>218</v>
      </c>
      <c r="AE461" s="269" t="s">
        <v>219</v>
      </c>
      <c r="AF461" s="268">
        <v>0</v>
      </c>
      <c r="AG461" s="239">
        <v>1</v>
      </c>
      <c r="AH461" s="239"/>
      <c r="AI461" s="239">
        <v>0</v>
      </c>
      <c r="AJ461" s="239">
        <v>0</v>
      </c>
    </row>
    <row r="462" spans="1:36" s="81" customFormat="1" ht="32.25" customHeight="1" x14ac:dyDescent="0.3">
      <c r="A462" s="80">
        <v>455</v>
      </c>
      <c r="B462" s="84" t="s">
        <v>196</v>
      </c>
      <c r="D462" s="240" t="s">
        <v>1375</v>
      </c>
      <c r="E462" s="239">
        <v>4</v>
      </c>
      <c r="F462" s="239"/>
      <c r="G462" s="239" t="s">
        <v>245</v>
      </c>
      <c r="H462" s="84" t="s">
        <v>1147</v>
      </c>
      <c r="I462" s="239" t="s">
        <v>886</v>
      </c>
      <c r="J462" s="239" t="s">
        <v>887</v>
      </c>
      <c r="K462" s="118"/>
      <c r="L462" s="239"/>
      <c r="M462" s="282">
        <v>1950</v>
      </c>
      <c r="N462" s="239" t="s">
        <v>893</v>
      </c>
      <c r="O462" s="239">
        <v>2</v>
      </c>
      <c r="P462" s="239">
        <v>0</v>
      </c>
      <c r="Q462" s="239">
        <v>1</v>
      </c>
      <c r="R462" s="239">
        <v>7</v>
      </c>
      <c r="S462" s="266">
        <f t="shared" si="11"/>
        <v>462.6</v>
      </c>
      <c r="T462" s="267">
        <v>462.6</v>
      </c>
      <c r="U462" s="267">
        <v>369.5</v>
      </c>
      <c r="V462" s="267">
        <v>0</v>
      </c>
      <c r="W462" s="268" t="s">
        <v>218</v>
      </c>
      <c r="X462" s="268" t="s">
        <v>218</v>
      </c>
      <c r="Y462" s="269" t="s">
        <v>219</v>
      </c>
      <c r="Z462" s="270" t="s">
        <v>218</v>
      </c>
      <c r="AA462" s="268" t="s">
        <v>218</v>
      </c>
      <c r="AB462" s="268" t="s">
        <v>218</v>
      </c>
      <c r="AC462" s="269" t="s">
        <v>218</v>
      </c>
      <c r="AD462" s="269" t="s">
        <v>218</v>
      </c>
      <c r="AE462" s="269" t="s">
        <v>219</v>
      </c>
      <c r="AF462" s="268">
        <v>0</v>
      </c>
      <c r="AG462" s="239">
        <v>1</v>
      </c>
      <c r="AH462" s="239"/>
      <c r="AI462" s="239">
        <v>0</v>
      </c>
      <c r="AJ462" s="239">
        <v>0</v>
      </c>
    </row>
    <row r="463" spans="1:36" s="81" customFormat="1" ht="32.25" customHeight="1" x14ac:dyDescent="0.3">
      <c r="A463" s="5">
        <v>456</v>
      </c>
      <c r="B463" s="84" t="s">
        <v>196</v>
      </c>
      <c r="D463" s="240" t="s">
        <v>1375</v>
      </c>
      <c r="E463" s="239">
        <v>6</v>
      </c>
      <c r="F463" s="239"/>
      <c r="G463" s="239" t="s">
        <v>245</v>
      </c>
      <c r="H463" s="84" t="s">
        <v>1148</v>
      </c>
      <c r="I463" s="239" t="s">
        <v>886</v>
      </c>
      <c r="J463" s="239" t="s">
        <v>887</v>
      </c>
      <c r="K463" s="118" t="s">
        <v>922</v>
      </c>
      <c r="L463" s="239"/>
      <c r="M463" s="282">
        <v>1950</v>
      </c>
      <c r="N463" s="239" t="s">
        <v>893</v>
      </c>
      <c r="O463" s="239">
        <v>2</v>
      </c>
      <c r="P463" s="239">
        <v>0</v>
      </c>
      <c r="Q463" s="239">
        <v>1</v>
      </c>
      <c r="R463" s="239">
        <v>7</v>
      </c>
      <c r="S463" s="266">
        <f t="shared" si="11"/>
        <v>482.5</v>
      </c>
      <c r="T463" s="267">
        <v>482.5</v>
      </c>
      <c r="U463" s="267">
        <v>383.8</v>
      </c>
      <c r="V463" s="267">
        <v>0</v>
      </c>
      <c r="W463" s="268" t="s">
        <v>218</v>
      </c>
      <c r="X463" s="268" t="s">
        <v>218</v>
      </c>
      <c r="Y463" s="269" t="s">
        <v>219</v>
      </c>
      <c r="Z463" s="270" t="s">
        <v>218</v>
      </c>
      <c r="AA463" s="268" t="s">
        <v>218</v>
      </c>
      <c r="AB463" s="268" t="s">
        <v>218</v>
      </c>
      <c r="AC463" s="269" t="s">
        <v>218</v>
      </c>
      <c r="AD463" s="269" t="s">
        <v>218</v>
      </c>
      <c r="AE463" s="269" t="s">
        <v>219</v>
      </c>
      <c r="AF463" s="268">
        <v>0</v>
      </c>
      <c r="AG463" s="239">
        <v>1</v>
      </c>
      <c r="AH463" s="239"/>
      <c r="AI463" s="239">
        <v>0</v>
      </c>
      <c r="AJ463" s="239">
        <v>0</v>
      </c>
    </row>
    <row r="464" spans="1:36" s="81" customFormat="1" ht="32.25" customHeight="1" x14ac:dyDescent="0.3">
      <c r="A464" s="80">
        <v>457</v>
      </c>
      <c r="B464" s="84" t="s">
        <v>196</v>
      </c>
      <c r="D464" s="240" t="s">
        <v>1375</v>
      </c>
      <c r="E464" s="239">
        <v>8</v>
      </c>
      <c r="F464" s="239"/>
      <c r="G464" s="239" t="s">
        <v>245</v>
      </c>
      <c r="H464" s="84" t="s">
        <v>1149</v>
      </c>
      <c r="I464" s="239" t="s">
        <v>886</v>
      </c>
      <c r="J464" s="239" t="s">
        <v>887</v>
      </c>
      <c r="K464" s="118"/>
      <c r="L464" s="239"/>
      <c r="M464" s="282">
        <v>1950</v>
      </c>
      <c r="N464" s="239" t="s">
        <v>893</v>
      </c>
      <c r="O464" s="239">
        <v>2</v>
      </c>
      <c r="P464" s="239">
        <v>0</v>
      </c>
      <c r="Q464" s="239">
        <v>1</v>
      </c>
      <c r="R464" s="239">
        <v>8</v>
      </c>
      <c r="S464" s="266">
        <f t="shared" si="11"/>
        <v>582.4</v>
      </c>
      <c r="T464" s="267">
        <v>582.4</v>
      </c>
      <c r="U464" s="267">
        <v>457.1</v>
      </c>
      <c r="V464" s="267">
        <v>0</v>
      </c>
      <c r="W464" s="268" t="s">
        <v>218</v>
      </c>
      <c r="X464" s="268" t="s">
        <v>218</v>
      </c>
      <c r="Y464" s="269" t="s">
        <v>219</v>
      </c>
      <c r="Z464" s="270" t="s">
        <v>218</v>
      </c>
      <c r="AA464" s="268" t="s">
        <v>218</v>
      </c>
      <c r="AB464" s="268" t="s">
        <v>218</v>
      </c>
      <c r="AC464" s="269" t="s">
        <v>218</v>
      </c>
      <c r="AD464" s="269" t="s">
        <v>218</v>
      </c>
      <c r="AE464" s="269" t="s">
        <v>219</v>
      </c>
      <c r="AF464" s="268">
        <v>0</v>
      </c>
      <c r="AG464" s="239">
        <v>1</v>
      </c>
      <c r="AH464" s="239"/>
      <c r="AI464" s="239">
        <v>0</v>
      </c>
      <c r="AJ464" s="239">
        <v>0</v>
      </c>
    </row>
    <row r="465" spans="1:36" s="81" customFormat="1" ht="32.25" customHeight="1" x14ac:dyDescent="0.3">
      <c r="A465" s="5">
        <v>458</v>
      </c>
      <c r="B465" s="84" t="s">
        <v>196</v>
      </c>
      <c r="D465" s="240" t="s">
        <v>1376</v>
      </c>
      <c r="E465" s="239">
        <v>8</v>
      </c>
      <c r="F465" s="239"/>
      <c r="G465" s="239" t="s">
        <v>245</v>
      </c>
      <c r="H465" s="84" t="s">
        <v>1150</v>
      </c>
      <c r="I465" s="239" t="s">
        <v>886</v>
      </c>
      <c r="J465" s="239" t="s">
        <v>887</v>
      </c>
      <c r="K465" s="118"/>
      <c r="L465" s="239"/>
      <c r="M465" s="239">
        <v>1951</v>
      </c>
      <c r="N465" s="239" t="s">
        <v>893</v>
      </c>
      <c r="O465" s="239">
        <v>2</v>
      </c>
      <c r="P465" s="239">
        <v>0</v>
      </c>
      <c r="Q465" s="239">
        <v>1</v>
      </c>
      <c r="R465" s="239">
        <v>7</v>
      </c>
      <c r="S465" s="266">
        <f t="shared" si="11"/>
        <v>569.20000000000005</v>
      </c>
      <c r="T465" s="267">
        <v>569.20000000000005</v>
      </c>
      <c r="U465" s="267">
        <v>353.3</v>
      </c>
      <c r="V465" s="267">
        <v>215.9</v>
      </c>
      <c r="W465" s="268" t="s">
        <v>218</v>
      </c>
      <c r="X465" s="268" t="s">
        <v>218</v>
      </c>
      <c r="Y465" s="269" t="s">
        <v>219</v>
      </c>
      <c r="Z465" s="270" t="s">
        <v>218</v>
      </c>
      <c r="AA465" s="268" t="s">
        <v>218</v>
      </c>
      <c r="AB465" s="268" t="s">
        <v>218</v>
      </c>
      <c r="AC465" s="269" t="s">
        <v>218</v>
      </c>
      <c r="AD465" s="269" t="s">
        <v>218</v>
      </c>
      <c r="AE465" s="269" t="s">
        <v>219</v>
      </c>
      <c r="AF465" s="268">
        <v>0</v>
      </c>
      <c r="AG465" s="239">
        <v>1</v>
      </c>
      <c r="AH465" s="239"/>
      <c r="AI465" s="239">
        <v>0</v>
      </c>
      <c r="AJ465" s="239">
        <v>0</v>
      </c>
    </row>
    <row r="466" spans="1:36" s="81" customFormat="1" ht="32.25" customHeight="1" x14ac:dyDescent="0.3">
      <c r="A466" s="80">
        <v>459</v>
      </c>
      <c r="B466" s="84" t="s">
        <v>196</v>
      </c>
      <c r="D466" s="240" t="s">
        <v>1377</v>
      </c>
      <c r="E466" s="385" t="s">
        <v>1378</v>
      </c>
      <c r="F466" s="239"/>
      <c r="G466" s="239" t="s">
        <v>245</v>
      </c>
      <c r="H466" s="84" t="s">
        <v>1151</v>
      </c>
      <c r="I466" s="239" t="s">
        <v>886</v>
      </c>
      <c r="J466" s="118" t="s">
        <v>904</v>
      </c>
      <c r="K466" s="118"/>
      <c r="L466" s="118"/>
      <c r="M466" s="239">
        <v>1917</v>
      </c>
      <c r="N466" s="239" t="s">
        <v>893</v>
      </c>
      <c r="O466" s="239">
        <v>5</v>
      </c>
      <c r="P466" s="239">
        <v>0</v>
      </c>
      <c r="Q466" s="239">
        <v>2</v>
      </c>
      <c r="R466" s="239">
        <v>24</v>
      </c>
      <c r="S466" s="266">
        <f t="shared" si="11"/>
        <v>2410.04</v>
      </c>
      <c r="T466" s="267">
        <v>2410.04</v>
      </c>
      <c r="U466" s="267">
        <v>1953.64</v>
      </c>
      <c r="V466" s="267">
        <v>456.4</v>
      </c>
      <c r="W466" s="268" t="s">
        <v>218</v>
      </c>
      <c r="X466" s="268" t="s">
        <v>218</v>
      </c>
      <c r="Y466" s="269" t="s">
        <v>218</v>
      </c>
      <c r="Z466" s="270" t="s">
        <v>218</v>
      </c>
      <c r="AA466" s="268" t="s">
        <v>218</v>
      </c>
      <c r="AB466" s="268" t="s">
        <v>218</v>
      </c>
      <c r="AC466" s="269" t="s">
        <v>219</v>
      </c>
      <c r="AD466" s="269" t="s">
        <v>218</v>
      </c>
      <c r="AE466" s="269" t="s">
        <v>219</v>
      </c>
      <c r="AF466" s="268">
        <v>0</v>
      </c>
      <c r="AG466" s="239">
        <v>1</v>
      </c>
      <c r="AH466" s="239"/>
      <c r="AI466" s="239">
        <v>0</v>
      </c>
      <c r="AJ466" s="239">
        <v>0</v>
      </c>
    </row>
    <row r="467" spans="1:36" s="81" customFormat="1" ht="32.25" customHeight="1" x14ac:dyDescent="0.3">
      <c r="A467" s="5">
        <v>460</v>
      </c>
      <c r="B467" s="84" t="s">
        <v>196</v>
      </c>
      <c r="D467" s="240" t="s">
        <v>1377</v>
      </c>
      <c r="E467" s="239">
        <v>12</v>
      </c>
      <c r="F467" s="239"/>
      <c r="G467" s="239" t="s">
        <v>245</v>
      </c>
      <c r="H467" s="84" t="s">
        <v>1152</v>
      </c>
      <c r="I467" s="239" t="s">
        <v>886</v>
      </c>
      <c r="J467" s="118" t="s">
        <v>903</v>
      </c>
      <c r="K467" s="118"/>
      <c r="L467" s="118"/>
      <c r="M467" s="239">
        <v>1887</v>
      </c>
      <c r="N467" s="239" t="s">
        <v>893</v>
      </c>
      <c r="O467" s="239">
        <v>2</v>
      </c>
      <c r="P467" s="239">
        <v>0</v>
      </c>
      <c r="Q467" s="239">
        <v>1</v>
      </c>
      <c r="R467" s="239">
        <v>24</v>
      </c>
      <c r="S467" s="266">
        <f t="shared" si="11"/>
        <v>360.4</v>
      </c>
      <c r="T467" s="267">
        <v>360.4</v>
      </c>
      <c r="U467" s="267">
        <v>235.8</v>
      </c>
      <c r="V467" s="267">
        <v>0</v>
      </c>
      <c r="W467" s="268" t="s">
        <v>218</v>
      </c>
      <c r="X467" s="268" t="s">
        <v>218</v>
      </c>
      <c r="Y467" s="269" t="s">
        <v>218</v>
      </c>
      <c r="Z467" s="270" t="s">
        <v>218</v>
      </c>
      <c r="AA467" s="268" t="s">
        <v>218</v>
      </c>
      <c r="AB467" s="268" t="s">
        <v>218</v>
      </c>
      <c r="AC467" s="269" t="s">
        <v>219</v>
      </c>
      <c r="AD467" s="269" t="s">
        <v>218</v>
      </c>
      <c r="AE467" s="269" t="s">
        <v>219</v>
      </c>
      <c r="AF467" s="268">
        <v>0</v>
      </c>
      <c r="AG467" s="239">
        <v>1</v>
      </c>
      <c r="AH467" s="239"/>
      <c r="AI467" s="239">
        <v>0</v>
      </c>
      <c r="AJ467" s="239">
        <v>0</v>
      </c>
    </row>
    <row r="468" spans="1:36" s="81" customFormat="1" ht="32.25" customHeight="1" x14ac:dyDescent="0.3">
      <c r="A468" s="80">
        <v>461</v>
      </c>
      <c r="B468" s="84" t="s">
        <v>196</v>
      </c>
      <c r="D468" s="240" t="s">
        <v>1377</v>
      </c>
      <c r="E468" s="239" t="s">
        <v>1379</v>
      </c>
      <c r="F468" s="239"/>
      <c r="G468" s="239" t="s">
        <v>245</v>
      </c>
      <c r="H468" s="84" t="s">
        <v>1153</v>
      </c>
      <c r="I468" s="239" t="s">
        <v>886</v>
      </c>
      <c r="J468" s="118" t="s">
        <v>903</v>
      </c>
      <c r="K468" s="118"/>
      <c r="L468" s="118"/>
      <c r="M468" s="239">
        <v>1896</v>
      </c>
      <c r="N468" s="239" t="s">
        <v>893</v>
      </c>
      <c r="O468" s="239">
        <v>5</v>
      </c>
      <c r="P468" s="239">
        <v>0</v>
      </c>
      <c r="Q468" s="239">
        <v>4</v>
      </c>
      <c r="R468" s="239">
        <v>31</v>
      </c>
      <c r="S468" s="266">
        <f t="shared" si="11"/>
        <v>3616.9</v>
      </c>
      <c r="T468" s="267">
        <v>3616.9</v>
      </c>
      <c r="U468" s="267">
        <v>2937.3</v>
      </c>
      <c r="V468" s="267">
        <v>501.8</v>
      </c>
      <c r="W468" s="268" t="s">
        <v>218</v>
      </c>
      <c r="X468" s="268" t="s">
        <v>218</v>
      </c>
      <c r="Y468" s="269" t="s">
        <v>218</v>
      </c>
      <c r="Z468" s="270" t="s">
        <v>218</v>
      </c>
      <c r="AA468" s="268" t="s">
        <v>218</v>
      </c>
      <c r="AB468" s="268" t="s">
        <v>218</v>
      </c>
      <c r="AC468" s="269" t="s">
        <v>219</v>
      </c>
      <c r="AD468" s="269" t="s">
        <v>218</v>
      </c>
      <c r="AE468" s="269" t="s">
        <v>219</v>
      </c>
      <c r="AF468" s="268">
        <v>0</v>
      </c>
      <c r="AG468" s="239">
        <v>1</v>
      </c>
      <c r="AH468" s="239"/>
      <c r="AI468" s="239">
        <v>0</v>
      </c>
      <c r="AJ468" s="239">
        <v>0</v>
      </c>
    </row>
    <row r="469" spans="1:36" s="81" customFormat="1" ht="32.25" customHeight="1" x14ac:dyDescent="0.3">
      <c r="A469" s="5">
        <v>462</v>
      </c>
      <c r="B469" s="84" t="s">
        <v>196</v>
      </c>
      <c r="D469" s="240" t="s">
        <v>1377</v>
      </c>
      <c r="E469" s="239">
        <v>14</v>
      </c>
      <c r="F469" s="239"/>
      <c r="G469" s="239" t="s">
        <v>245</v>
      </c>
      <c r="H469" s="84" t="s">
        <v>1154</v>
      </c>
      <c r="I469" s="239" t="s">
        <v>886</v>
      </c>
      <c r="J469" s="239" t="s">
        <v>1360</v>
      </c>
      <c r="K469" s="118"/>
      <c r="L469" s="239"/>
      <c r="M469" s="282">
        <v>1900</v>
      </c>
      <c r="N469" s="239" t="s">
        <v>893</v>
      </c>
      <c r="O469" s="282">
        <v>4</v>
      </c>
      <c r="P469" s="239">
        <v>0</v>
      </c>
      <c r="Q469" s="282">
        <v>3</v>
      </c>
      <c r="R469" s="239">
        <v>30</v>
      </c>
      <c r="S469" s="266">
        <f t="shared" si="11"/>
        <v>2774.2</v>
      </c>
      <c r="T469" s="267">
        <v>2774.2</v>
      </c>
      <c r="U469" s="267">
        <v>2070.1</v>
      </c>
      <c r="V469" s="267">
        <v>635.79999999999995</v>
      </c>
      <c r="W469" s="268" t="s">
        <v>218</v>
      </c>
      <c r="X469" s="268" t="s">
        <v>218</v>
      </c>
      <c r="Y469" s="269" t="s">
        <v>218</v>
      </c>
      <c r="Z469" s="270" t="s">
        <v>218</v>
      </c>
      <c r="AA469" s="268" t="s">
        <v>218</v>
      </c>
      <c r="AB469" s="268" t="s">
        <v>218</v>
      </c>
      <c r="AC469" s="269" t="s">
        <v>219</v>
      </c>
      <c r="AD469" s="269" t="s">
        <v>218</v>
      </c>
      <c r="AE469" s="269" t="s">
        <v>219</v>
      </c>
      <c r="AF469" s="268">
        <v>0</v>
      </c>
      <c r="AG469" s="239">
        <v>1</v>
      </c>
      <c r="AH469" s="239"/>
      <c r="AI469" s="239">
        <v>0</v>
      </c>
      <c r="AJ469" s="239">
        <v>0</v>
      </c>
    </row>
    <row r="470" spans="1:36" s="81" customFormat="1" ht="32.25" customHeight="1" x14ac:dyDescent="0.3">
      <c r="A470" s="80">
        <v>463</v>
      </c>
      <c r="B470" s="84" t="s">
        <v>196</v>
      </c>
      <c r="D470" s="240" t="s">
        <v>1377</v>
      </c>
      <c r="E470" s="239">
        <v>24</v>
      </c>
      <c r="F470" s="239"/>
      <c r="G470" s="239" t="s">
        <v>245</v>
      </c>
      <c r="H470" s="84" t="s">
        <v>1155</v>
      </c>
      <c r="I470" s="239" t="s">
        <v>886</v>
      </c>
      <c r="J470" s="239" t="s">
        <v>216</v>
      </c>
      <c r="K470" s="118"/>
      <c r="L470" s="239"/>
      <c r="M470" s="282">
        <v>1969</v>
      </c>
      <c r="N470" s="239" t="s">
        <v>893</v>
      </c>
      <c r="O470" s="282">
        <v>5</v>
      </c>
      <c r="P470" s="239">
        <v>0</v>
      </c>
      <c r="Q470" s="282">
        <v>8</v>
      </c>
      <c r="R470" s="239">
        <v>151</v>
      </c>
      <c r="S470" s="266">
        <f t="shared" si="11"/>
        <v>6896.3</v>
      </c>
      <c r="T470" s="267">
        <v>6896.3</v>
      </c>
      <c r="U470" s="267">
        <v>6495</v>
      </c>
      <c r="V470" s="267">
        <v>368.5</v>
      </c>
      <c r="W470" s="268" t="s">
        <v>218</v>
      </c>
      <c r="X470" s="268" t="s">
        <v>218</v>
      </c>
      <c r="Y470" s="269" t="s">
        <v>219</v>
      </c>
      <c r="Z470" s="270" t="s">
        <v>218</v>
      </c>
      <c r="AA470" s="268" t="s">
        <v>218</v>
      </c>
      <c r="AB470" s="268" t="s">
        <v>218</v>
      </c>
      <c r="AC470" s="269" t="s">
        <v>218</v>
      </c>
      <c r="AD470" s="269" t="s">
        <v>218</v>
      </c>
      <c r="AE470" s="269" t="s">
        <v>219</v>
      </c>
      <c r="AF470" s="268">
        <v>0</v>
      </c>
      <c r="AG470" s="239">
        <v>2</v>
      </c>
      <c r="AH470" s="239"/>
      <c r="AI470" s="239">
        <v>0</v>
      </c>
      <c r="AJ470" s="239">
        <v>0</v>
      </c>
    </row>
    <row r="471" spans="1:36" s="81" customFormat="1" ht="32.25" customHeight="1" x14ac:dyDescent="0.3">
      <c r="A471" s="5">
        <v>464</v>
      </c>
      <c r="B471" s="84" t="s">
        <v>196</v>
      </c>
      <c r="D471" s="240" t="s">
        <v>1377</v>
      </c>
      <c r="E471" s="239">
        <v>31</v>
      </c>
      <c r="F471" s="239"/>
      <c r="G471" s="239" t="s">
        <v>245</v>
      </c>
      <c r="H471" s="84" t="s">
        <v>1156</v>
      </c>
      <c r="I471" s="239" t="s">
        <v>886</v>
      </c>
      <c r="J471" s="239" t="s">
        <v>887</v>
      </c>
      <c r="K471" s="118"/>
      <c r="L471" s="239"/>
      <c r="M471" s="282">
        <v>1917</v>
      </c>
      <c r="N471" s="239" t="s">
        <v>893</v>
      </c>
      <c r="O471" s="282">
        <v>4</v>
      </c>
      <c r="P471" s="239">
        <v>0</v>
      </c>
      <c r="Q471" s="282">
        <v>4</v>
      </c>
      <c r="R471" s="239">
        <v>34</v>
      </c>
      <c r="S471" s="266">
        <f t="shared" si="11"/>
        <v>3095.8</v>
      </c>
      <c r="T471" s="267">
        <v>3095.8</v>
      </c>
      <c r="U471" s="267">
        <v>3085.9</v>
      </c>
      <c r="V471" s="267">
        <v>0</v>
      </c>
      <c r="W471" s="268" t="s">
        <v>218</v>
      </c>
      <c r="X471" s="268" t="s">
        <v>218</v>
      </c>
      <c r="Y471" s="269" t="s">
        <v>219</v>
      </c>
      <c r="Z471" s="270" t="s">
        <v>218</v>
      </c>
      <c r="AA471" s="268" t="s">
        <v>218</v>
      </c>
      <c r="AB471" s="268" t="s">
        <v>218</v>
      </c>
      <c r="AC471" s="269" t="s">
        <v>218</v>
      </c>
      <c r="AD471" s="269" t="s">
        <v>218</v>
      </c>
      <c r="AE471" s="269" t="s">
        <v>219</v>
      </c>
      <c r="AF471" s="268">
        <v>0</v>
      </c>
      <c r="AG471" s="239">
        <v>1</v>
      </c>
      <c r="AH471" s="239"/>
      <c r="AI471" s="239">
        <v>0</v>
      </c>
      <c r="AJ471" s="239">
        <v>0</v>
      </c>
    </row>
    <row r="472" spans="1:36" s="81" customFormat="1" ht="32.25" customHeight="1" x14ac:dyDescent="0.3">
      <c r="A472" s="80">
        <v>465</v>
      </c>
      <c r="B472" s="84" t="s">
        <v>196</v>
      </c>
      <c r="D472" s="240" t="s">
        <v>1377</v>
      </c>
      <c r="E472" s="239">
        <v>5</v>
      </c>
      <c r="F472" s="239"/>
      <c r="G472" s="239" t="s">
        <v>245</v>
      </c>
      <c r="H472" s="84" t="s">
        <v>1157</v>
      </c>
      <c r="I472" s="239" t="s">
        <v>886</v>
      </c>
      <c r="J472" s="118" t="s">
        <v>904</v>
      </c>
      <c r="K472" s="118"/>
      <c r="L472" s="239"/>
      <c r="M472" s="239">
        <v>1904</v>
      </c>
      <c r="N472" s="239" t="s">
        <v>893</v>
      </c>
      <c r="O472" s="239">
        <v>5</v>
      </c>
      <c r="P472" s="239">
        <v>0</v>
      </c>
      <c r="Q472" s="239">
        <v>3</v>
      </c>
      <c r="R472" s="239">
        <v>52</v>
      </c>
      <c r="S472" s="266">
        <f t="shared" ref="S472:S535" si="12">T472</f>
        <v>4236.5</v>
      </c>
      <c r="T472" s="267">
        <v>4236.5</v>
      </c>
      <c r="U472" s="267">
        <v>3973.3</v>
      </c>
      <c r="V472" s="267">
        <v>50</v>
      </c>
      <c r="W472" s="268" t="s">
        <v>218</v>
      </c>
      <c r="X472" s="268" t="s">
        <v>218</v>
      </c>
      <c r="Y472" s="269" t="s">
        <v>219</v>
      </c>
      <c r="Z472" s="270" t="s">
        <v>218</v>
      </c>
      <c r="AA472" s="268" t="s">
        <v>218</v>
      </c>
      <c r="AB472" s="268" t="s">
        <v>218</v>
      </c>
      <c r="AC472" s="269" t="s">
        <v>218</v>
      </c>
      <c r="AD472" s="269" t="s">
        <v>218</v>
      </c>
      <c r="AE472" s="269" t="s">
        <v>219</v>
      </c>
      <c r="AF472" s="268">
        <v>0</v>
      </c>
      <c r="AG472" s="239">
        <v>2</v>
      </c>
      <c r="AH472" s="239"/>
      <c r="AI472" s="239">
        <v>0</v>
      </c>
      <c r="AJ472" s="239">
        <v>0</v>
      </c>
    </row>
    <row r="473" spans="1:36" s="81" customFormat="1" ht="32.25" customHeight="1" x14ac:dyDescent="0.3">
      <c r="A473" s="5">
        <v>466</v>
      </c>
      <c r="B473" s="84" t="s">
        <v>196</v>
      </c>
      <c r="D473" s="240" t="s">
        <v>1380</v>
      </c>
      <c r="E473" s="239">
        <v>130</v>
      </c>
      <c r="F473" s="239"/>
      <c r="G473" s="239" t="s">
        <v>245</v>
      </c>
      <c r="H473" s="84" t="s">
        <v>1158</v>
      </c>
      <c r="I473" s="239" t="s">
        <v>886</v>
      </c>
      <c r="J473" s="239" t="s">
        <v>887</v>
      </c>
      <c r="K473" s="118"/>
      <c r="L473" s="239"/>
      <c r="M473" s="282">
        <v>1913</v>
      </c>
      <c r="N473" s="239" t="s">
        <v>893</v>
      </c>
      <c r="O473" s="282">
        <v>6</v>
      </c>
      <c r="P473" s="239">
        <v>0</v>
      </c>
      <c r="Q473" s="282">
        <v>5</v>
      </c>
      <c r="R473" s="239">
        <v>138</v>
      </c>
      <c r="S473" s="266">
        <f t="shared" si="12"/>
        <v>12831.4</v>
      </c>
      <c r="T473" s="267">
        <v>12831.4</v>
      </c>
      <c r="U473" s="267">
        <v>8664.4</v>
      </c>
      <c r="V473" s="267">
        <v>3651.4</v>
      </c>
      <c r="W473" s="268" t="s">
        <v>218</v>
      </c>
      <c r="X473" s="268" t="s">
        <v>218</v>
      </c>
      <c r="Y473" s="269" t="s">
        <v>218</v>
      </c>
      <c r="Z473" s="270" t="s">
        <v>218</v>
      </c>
      <c r="AA473" s="268" t="s">
        <v>218</v>
      </c>
      <c r="AB473" s="268" t="s">
        <v>218</v>
      </c>
      <c r="AC473" s="269" t="s">
        <v>219</v>
      </c>
      <c r="AD473" s="269" t="s">
        <v>218</v>
      </c>
      <c r="AE473" s="269" t="s">
        <v>219</v>
      </c>
      <c r="AF473" s="268">
        <v>5</v>
      </c>
      <c r="AG473" s="239">
        <v>2</v>
      </c>
      <c r="AH473" s="239"/>
      <c r="AI473" s="239">
        <v>0</v>
      </c>
      <c r="AJ473" s="239">
        <v>1</v>
      </c>
    </row>
    <row r="474" spans="1:36" s="81" customFormat="1" ht="32.25" customHeight="1" x14ac:dyDescent="0.3">
      <c r="A474" s="80">
        <v>467</v>
      </c>
      <c r="B474" s="84" t="s">
        <v>196</v>
      </c>
      <c r="D474" s="240" t="s">
        <v>1380</v>
      </c>
      <c r="E474" s="239">
        <v>138</v>
      </c>
      <c r="F474" s="239"/>
      <c r="G474" s="239" t="s">
        <v>245</v>
      </c>
      <c r="H474" s="84" t="s">
        <v>1159</v>
      </c>
      <c r="I474" s="239" t="s">
        <v>886</v>
      </c>
      <c r="J474" s="239" t="s">
        <v>887</v>
      </c>
      <c r="K474" s="118"/>
      <c r="L474" s="239"/>
      <c r="M474" s="282">
        <v>1859</v>
      </c>
      <c r="N474" s="239" t="s">
        <v>893</v>
      </c>
      <c r="O474" s="282">
        <v>4</v>
      </c>
      <c r="P474" s="239">
        <v>0</v>
      </c>
      <c r="Q474" s="282">
        <v>1</v>
      </c>
      <c r="R474" s="239">
        <v>12</v>
      </c>
      <c r="S474" s="266">
        <f t="shared" si="12"/>
        <v>1157.3</v>
      </c>
      <c r="T474" s="267">
        <v>1157.3</v>
      </c>
      <c r="U474" s="267">
        <v>871.4</v>
      </c>
      <c r="V474" s="267">
        <v>274.3</v>
      </c>
      <c r="W474" s="268" t="s">
        <v>218</v>
      </c>
      <c r="X474" s="268" t="s">
        <v>218</v>
      </c>
      <c r="Y474" s="269" t="s">
        <v>219</v>
      </c>
      <c r="Z474" s="270" t="s">
        <v>218</v>
      </c>
      <c r="AA474" s="268" t="s">
        <v>218</v>
      </c>
      <c r="AB474" s="268" t="s">
        <v>218</v>
      </c>
      <c r="AC474" s="269" t="s">
        <v>218</v>
      </c>
      <c r="AD474" s="269" t="s">
        <v>218</v>
      </c>
      <c r="AE474" s="269" t="s">
        <v>219</v>
      </c>
      <c r="AF474" s="268">
        <v>0</v>
      </c>
      <c r="AG474" s="239">
        <v>1</v>
      </c>
      <c r="AH474" s="239"/>
      <c r="AI474" s="239">
        <v>0</v>
      </c>
      <c r="AJ474" s="239">
        <v>1</v>
      </c>
    </row>
    <row r="475" spans="1:36" s="81" customFormat="1" ht="32.25" customHeight="1" x14ac:dyDescent="0.3">
      <c r="A475" s="5">
        <v>468</v>
      </c>
      <c r="B475" s="84" t="s">
        <v>196</v>
      </c>
      <c r="D475" s="240" t="s">
        <v>1380</v>
      </c>
      <c r="E475" s="239">
        <v>142</v>
      </c>
      <c r="F475" s="239"/>
      <c r="G475" s="239" t="s">
        <v>245</v>
      </c>
      <c r="H475" s="84" t="s">
        <v>1160</v>
      </c>
      <c r="I475" s="239" t="s">
        <v>886</v>
      </c>
      <c r="J475" s="118" t="s">
        <v>903</v>
      </c>
      <c r="K475" s="118"/>
      <c r="L475" s="118"/>
      <c r="M475" s="282">
        <v>1907</v>
      </c>
      <c r="N475" s="239" t="s">
        <v>893</v>
      </c>
      <c r="O475" s="282">
        <v>6</v>
      </c>
      <c r="P475" s="239">
        <v>0</v>
      </c>
      <c r="Q475" s="282">
        <v>2</v>
      </c>
      <c r="R475" s="239">
        <v>15</v>
      </c>
      <c r="S475" s="266">
        <f t="shared" si="12"/>
        <v>1187.5999999999999</v>
      </c>
      <c r="T475" s="267">
        <v>1187.5999999999999</v>
      </c>
      <c r="U475" s="267">
        <v>1019.4</v>
      </c>
      <c r="V475" s="267">
        <v>154.5</v>
      </c>
      <c r="W475" s="268" t="s">
        <v>218</v>
      </c>
      <c r="X475" s="268" t="s">
        <v>218</v>
      </c>
      <c r="Y475" s="269" t="s">
        <v>219</v>
      </c>
      <c r="Z475" s="270" t="s">
        <v>218</v>
      </c>
      <c r="AA475" s="268" t="s">
        <v>218</v>
      </c>
      <c r="AB475" s="268" t="s">
        <v>218</v>
      </c>
      <c r="AC475" s="269" t="s">
        <v>218</v>
      </c>
      <c r="AD475" s="269" t="s">
        <v>218</v>
      </c>
      <c r="AE475" s="269" t="s">
        <v>219</v>
      </c>
      <c r="AF475" s="268">
        <v>1</v>
      </c>
      <c r="AG475" s="239">
        <v>2</v>
      </c>
      <c r="AH475" s="239"/>
      <c r="AI475" s="239">
        <v>0</v>
      </c>
      <c r="AJ475" s="239">
        <v>1</v>
      </c>
    </row>
    <row r="476" spans="1:36" s="81" customFormat="1" ht="32.25" customHeight="1" x14ac:dyDescent="0.3">
      <c r="A476" s="80">
        <v>469</v>
      </c>
      <c r="B476" s="84" t="s">
        <v>196</v>
      </c>
      <c r="D476" s="240" t="s">
        <v>1380</v>
      </c>
      <c r="E476" s="239">
        <v>152</v>
      </c>
      <c r="F476" s="239"/>
      <c r="G476" s="239" t="s">
        <v>245</v>
      </c>
      <c r="H476" s="84" t="s">
        <v>1161</v>
      </c>
      <c r="I476" s="239" t="s">
        <v>886</v>
      </c>
      <c r="J476" s="118" t="s">
        <v>903</v>
      </c>
      <c r="K476" s="118"/>
      <c r="L476" s="118"/>
      <c r="M476" s="282">
        <v>1904</v>
      </c>
      <c r="N476" s="239" t="s">
        <v>893</v>
      </c>
      <c r="O476" s="282">
        <v>3</v>
      </c>
      <c r="P476" s="239">
        <v>0</v>
      </c>
      <c r="Q476" s="282">
        <v>1</v>
      </c>
      <c r="R476" s="239">
        <v>5</v>
      </c>
      <c r="S476" s="266">
        <f t="shared" si="12"/>
        <v>443.7</v>
      </c>
      <c r="T476" s="267">
        <v>443.7</v>
      </c>
      <c r="U476" s="267">
        <v>362.5</v>
      </c>
      <c r="V476" s="267">
        <v>55</v>
      </c>
      <c r="W476" s="268" t="s">
        <v>218</v>
      </c>
      <c r="X476" s="268" t="s">
        <v>218</v>
      </c>
      <c r="Y476" s="269" t="s">
        <v>219</v>
      </c>
      <c r="Z476" s="270" t="s">
        <v>218</v>
      </c>
      <c r="AA476" s="268" t="s">
        <v>218</v>
      </c>
      <c r="AB476" s="268" t="s">
        <v>218</v>
      </c>
      <c r="AC476" s="269" t="s">
        <v>218</v>
      </c>
      <c r="AD476" s="269" t="s">
        <v>218</v>
      </c>
      <c r="AE476" s="269" t="s">
        <v>219</v>
      </c>
      <c r="AF476" s="268">
        <v>0</v>
      </c>
      <c r="AG476" s="239">
        <v>1</v>
      </c>
      <c r="AH476" s="239"/>
      <c r="AI476" s="239">
        <v>0</v>
      </c>
      <c r="AJ476" s="239">
        <v>1</v>
      </c>
    </row>
    <row r="477" spans="1:36" s="81" customFormat="1" ht="32.25" customHeight="1" x14ac:dyDescent="0.3">
      <c r="A477" s="5">
        <v>470</v>
      </c>
      <c r="B477" s="84" t="s">
        <v>196</v>
      </c>
      <c r="D477" s="240" t="s">
        <v>1380</v>
      </c>
      <c r="E477" s="239">
        <v>154</v>
      </c>
      <c r="F477" s="239"/>
      <c r="G477" s="239" t="s">
        <v>245</v>
      </c>
      <c r="H477" s="84" t="s">
        <v>1162</v>
      </c>
      <c r="I477" s="239" t="s">
        <v>886</v>
      </c>
      <c r="J477" s="118" t="s">
        <v>903</v>
      </c>
      <c r="K477" s="118"/>
      <c r="L477" s="118"/>
      <c r="M477" s="282">
        <v>1908</v>
      </c>
      <c r="N477" s="239" t="s">
        <v>893</v>
      </c>
      <c r="O477" s="282">
        <v>5</v>
      </c>
      <c r="P477" s="239">
        <v>0</v>
      </c>
      <c r="Q477" s="282">
        <v>3</v>
      </c>
      <c r="R477" s="239">
        <v>17</v>
      </c>
      <c r="S477" s="266">
        <f t="shared" si="12"/>
        <v>1368</v>
      </c>
      <c r="T477" s="267">
        <v>1368</v>
      </c>
      <c r="U477" s="267">
        <v>1055.46</v>
      </c>
      <c r="V477" s="267">
        <v>191.9</v>
      </c>
      <c r="W477" s="268" t="s">
        <v>218</v>
      </c>
      <c r="X477" s="268" t="s">
        <v>218</v>
      </c>
      <c r="Y477" s="269" t="s">
        <v>219</v>
      </c>
      <c r="Z477" s="270" t="s">
        <v>218</v>
      </c>
      <c r="AA477" s="268" t="s">
        <v>218</v>
      </c>
      <c r="AB477" s="268" t="s">
        <v>218</v>
      </c>
      <c r="AC477" s="269" t="s">
        <v>218</v>
      </c>
      <c r="AD477" s="269" t="s">
        <v>218</v>
      </c>
      <c r="AE477" s="269" t="s">
        <v>219</v>
      </c>
      <c r="AF477" s="268">
        <v>0</v>
      </c>
      <c r="AG477" s="239" t="s">
        <v>931</v>
      </c>
      <c r="AH477" s="239"/>
      <c r="AI477" s="239">
        <v>0</v>
      </c>
      <c r="AJ477" s="239">
        <v>1</v>
      </c>
    </row>
    <row r="478" spans="1:36" s="81" customFormat="1" ht="32.25" customHeight="1" x14ac:dyDescent="0.3">
      <c r="A478" s="80">
        <v>471</v>
      </c>
      <c r="B478" s="84" t="s">
        <v>196</v>
      </c>
      <c r="D478" s="240" t="s">
        <v>1380</v>
      </c>
      <c r="E478" s="239">
        <v>158</v>
      </c>
      <c r="F478" s="239"/>
      <c r="G478" s="239" t="s">
        <v>245</v>
      </c>
      <c r="H478" s="84" t="s">
        <v>1163</v>
      </c>
      <c r="I478" s="239" t="s">
        <v>886</v>
      </c>
      <c r="J478" s="239" t="s">
        <v>887</v>
      </c>
      <c r="K478" s="118"/>
      <c r="L478" s="239"/>
      <c r="M478" s="282">
        <v>1906</v>
      </c>
      <c r="N478" s="239" t="s">
        <v>893</v>
      </c>
      <c r="O478" s="282">
        <v>5</v>
      </c>
      <c r="P478" s="239">
        <v>0</v>
      </c>
      <c r="Q478" s="282">
        <v>1</v>
      </c>
      <c r="R478" s="239">
        <v>18</v>
      </c>
      <c r="S478" s="266">
        <f t="shared" si="12"/>
        <v>1182.4000000000001</v>
      </c>
      <c r="T478" s="267">
        <v>1182.4000000000001</v>
      </c>
      <c r="U478" s="267">
        <v>1042.5999999999999</v>
      </c>
      <c r="V478" s="267">
        <v>121.00000000000001</v>
      </c>
      <c r="W478" s="268" t="s">
        <v>218</v>
      </c>
      <c r="X478" s="268" t="s">
        <v>218</v>
      </c>
      <c r="Y478" s="269" t="s">
        <v>219</v>
      </c>
      <c r="Z478" s="270" t="s">
        <v>218</v>
      </c>
      <c r="AA478" s="268" t="s">
        <v>218</v>
      </c>
      <c r="AB478" s="268" t="s">
        <v>218</v>
      </c>
      <c r="AC478" s="269" t="s">
        <v>218</v>
      </c>
      <c r="AD478" s="269" t="s">
        <v>218</v>
      </c>
      <c r="AE478" s="269" t="s">
        <v>219</v>
      </c>
      <c r="AF478" s="268">
        <v>0</v>
      </c>
      <c r="AG478" s="239">
        <v>1</v>
      </c>
      <c r="AH478" s="239"/>
      <c r="AI478" s="239">
        <v>0</v>
      </c>
      <c r="AJ478" s="239">
        <v>1</v>
      </c>
    </row>
    <row r="479" spans="1:36" s="81" customFormat="1" ht="32.25" customHeight="1" x14ac:dyDescent="0.3">
      <c r="A479" s="5">
        <v>472</v>
      </c>
      <c r="B479" s="84" t="s">
        <v>196</v>
      </c>
      <c r="D479" s="240" t="s">
        <v>1380</v>
      </c>
      <c r="E479" s="239">
        <v>160</v>
      </c>
      <c r="F479" s="239"/>
      <c r="G479" s="239" t="s">
        <v>245</v>
      </c>
      <c r="H479" s="84" t="s">
        <v>1164</v>
      </c>
      <c r="I479" s="239" t="s">
        <v>886</v>
      </c>
      <c r="J479" s="239" t="s">
        <v>887</v>
      </c>
      <c r="K479" s="118"/>
      <c r="L479" s="239"/>
      <c r="M479" s="239">
        <v>1900</v>
      </c>
      <c r="N479" s="239" t="s">
        <v>893</v>
      </c>
      <c r="O479" s="239">
        <v>5</v>
      </c>
      <c r="P479" s="239">
        <v>0</v>
      </c>
      <c r="Q479" s="239">
        <v>1</v>
      </c>
      <c r="R479" s="239">
        <v>12</v>
      </c>
      <c r="S479" s="266">
        <f t="shared" si="12"/>
        <v>948</v>
      </c>
      <c r="T479" s="267">
        <v>948</v>
      </c>
      <c r="U479" s="267">
        <v>737.3</v>
      </c>
      <c r="V479" s="267">
        <v>130.69999999999999</v>
      </c>
      <c r="W479" s="268" t="s">
        <v>218</v>
      </c>
      <c r="X479" s="268" t="s">
        <v>218</v>
      </c>
      <c r="Y479" s="269" t="s">
        <v>219</v>
      </c>
      <c r="Z479" s="270" t="s">
        <v>218</v>
      </c>
      <c r="AA479" s="268" t="s">
        <v>218</v>
      </c>
      <c r="AB479" s="268" t="s">
        <v>218</v>
      </c>
      <c r="AC479" s="269" t="s">
        <v>218</v>
      </c>
      <c r="AD479" s="269" t="s">
        <v>218</v>
      </c>
      <c r="AE479" s="269" t="s">
        <v>219</v>
      </c>
      <c r="AF479" s="268">
        <v>1</v>
      </c>
      <c r="AG479" s="239">
        <v>1</v>
      </c>
      <c r="AH479" s="239"/>
      <c r="AI479" s="239">
        <v>0</v>
      </c>
      <c r="AJ479" s="239">
        <v>1</v>
      </c>
    </row>
    <row r="480" spans="1:36" s="81" customFormat="1" ht="32.25" customHeight="1" x14ac:dyDescent="0.3">
      <c r="A480" s="80">
        <v>473</v>
      </c>
      <c r="B480" s="84" t="s">
        <v>196</v>
      </c>
      <c r="D480" s="240" t="s">
        <v>1380</v>
      </c>
      <c r="E480" s="239">
        <v>160</v>
      </c>
      <c r="F480" s="239"/>
      <c r="G480" s="239" t="s">
        <v>1356</v>
      </c>
      <c r="H480" s="84" t="s">
        <v>1165</v>
      </c>
      <c r="I480" s="239" t="s">
        <v>886</v>
      </c>
      <c r="J480" s="239" t="s">
        <v>887</v>
      </c>
      <c r="K480" s="118"/>
      <c r="L480" s="239"/>
      <c r="M480" s="239">
        <v>1900</v>
      </c>
      <c r="N480" s="239" t="s">
        <v>893</v>
      </c>
      <c r="O480" s="239">
        <v>4</v>
      </c>
      <c r="P480" s="239">
        <v>0</v>
      </c>
      <c r="Q480" s="239">
        <v>1</v>
      </c>
      <c r="R480" s="239">
        <v>10</v>
      </c>
      <c r="S480" s="266">
        <f t="shared" si="12"/>
        <v>748.9</v>
      </c>
      <c r="T480" s="267">
        <v>748.9</v>
      </c>
      <c r="U480" s="267">
        <v>614.4</v>
      </c>
      <c r="V480" s="267">
        <v>124.2</v>
      </c>
      <c r="W480" s="268" t="s">
        <v>218</v>
      </c>
      <c r="X480" s="268" t="s">
        <v>218</v>
      </c>
      <c r="Y480" s="269" t="s">
        <v>219</v>
      </c>
      <c r="Z480" s="270" t="s">
        <v>218</v>
      </c>
      <c r="AA480" s="268" t="s">
        <v>218</v>
      </c>
      <c r="AB480" s="268" t="s">
        <v>218</v>
      </c>
      <c r="AC480" s="269" t="s">
        <v>218</v>
      </c>
      <c r="AD480" s="269" t="s">
        <v>218</v>
      </c>
      <c r="AE480" s="269" t="s">
        <v>219</v>
      </c>
      <c r="AF480" s="268">
        <v>0</v>
      </c>
      <c r="AG480" s="239" t="s">
        <v>932</v>
      </c>
      <c r="AH480" s="239"/>
      <c r="AI480" s="239">
        <v>0</v>
      </c>
      <c r="AJ480" s="239">
        <v>1</v>
      </c>
    </row>
    <row r="481" spans="1:36" s="81" customFormat="1" ht="32.25" customHeight="1" x14ac:dyDescent="0.3">
      <c r="A481" s="5">
        <v>474</v>
      </c>
      <c r="B481" s="84" t="s">
        <v>196</v>
      </c>
      <c r="D481" s="240" t="s">
        <v>1380</v>
      </c>
      <c r="E481" s="239">
        <v>161</v>
      </c>
      <c r="F481" s="239"/>
      <c r="G481" s="239" t="s">
        <v>245</v>
      </c>
      <c r="H481" s="84" t="s">
        <v>1166</v>
      </c>
      <c r="I481" s="239" t="s">
        <v>886</v>
      </c>
      <c r="J481" s="239" t="s">
        <v>216</v>
      </c>
      <c r="K481" s="118"/>
      <c r="L481" s="239"/>
      <c r="M481" s="282">
        <v>1970</v>
      </c>
      <c r="N481" s="239" t="s">
        <v>893</v>
      </c>
      <c r="O481" s="282">
        <v>12</v>
      </c>
      <c r="P481" s="239">
        <v>0</v>
      </c>
      <c r="Q481" s="282">
        <v>2</v>
      </c>
      <c r="R481" s="239">
        <v>130</v>
      </c>
      <c r="S481" s="266">
        <f t="shared" si="12"/>
        <v>8223.7999999999993</v>
      </c>
      <c r="T481" s="267">
        <v>8223.7999999999993</v>
      </c>
      <c r="U481" s="267">
        <v>6389.5</v>
      </c>
      <c r="V481" s="267">
        <v>1601.8999999999999</v>
      </c>
      <c r="W481" s="268" t="s">
        <v>218</v>
      </c>
      <c r="X481" s="268" t="s">
        <v>218</v>
      </c>
      <c r="Y481" s="269" t="s">
        <v>218</v>
      </c>
      <c r="Z481" s="270" t="s">
        <v>218</v>
      </c>
      <c r="AA481" s="268" t="s">
        <v>218</v>
      </c>
      <c r="AB481" s="268" t="s">
        <v>218</v>
      </c>
      <c r="AC481" s="269" t="s">
        <v>219</v>
      </c>
      <c r="AD481" s="269" t="s">
        <v>218</v>
      </c>
      <c r="AE481" s="269" t="s">
        <v>219</v>
      </c>
      <c r="AF481" s="268">
        <v>2</v>
      </c>
      <c r="AG481" s="239">
        <v>2</v>
      </c>
      <c r="AH481" s="239"/>
      <c r="AI481" s="239">
        <v>1</v>
      </c>
      <c r="AJ481" s="239">
        <v>1</v>
      </c>
    </row>
    <row r="482" spans="1:36" s="81" customFormat="1" ht="32.25" customHeight="1" x14ac:dyDescent="0.3">
      <c r="A482" s="80">
        <v>475</v>
      </c>
      <c r="B482" s="84" t="s">
        <v>196</v>
      </c>
      <c r="D482" s="240" t="s">
        <v>1380</v>
      </c>
      <c r="E482" s="239">
        <v>162</v>
      </c>
      <c r="F482" s="239"/>
      <c r="G482" s="239" t="s">
        <v>245</v>
      </c>
      <c r="H482" s="84" t="s">
        <v>1167</v>
      </c>
      <c r="I482" s="239" t="s">
        <v>886</v>
      </c>
      <c r="J482" s="239" t="s">
        <v>887</v>
      </c>
      <c r="K482" s="118"/>
      <c r="L482" s="239"/>
      <c r="M482" s="282">
        <v>1893</v>
      </c>
      <c r="N482" s="239" t="s">
        <v>893</v>
      </c>
      <c r="O482" s="282">
        <v>5</v>
      </c>
      <c r="P482" s="239">
        <v>0</v>
      </c>
      <c r="Q482" s="282">
        <v>1</v>
      </c>
      <c r="R482" s="239">
        <v>16</v>
      </c>
      <c r="S482" s="266">
        <f t="shared" si="12"/>
        <v>1300.5999999999999</v>
      </c>
      <c r="T482" s="267">
        <v>1300.5999999999999</v>
      </c>
      <c r="U482" s="267">
        <v>1014.7</v>
      </c>
      <c r="V482" s="267">
        <v>263.10000000000002</v>
      </c>
      <c r="W482" s="268" t="s">
        <v>218</v>
      </c>
      <c r="X482" s="268" t="s">
        <v>218</v>
      </c>
      <c r="Y482" s="269" t="s">
        <v>218</v>
      </c>
      <c r="Z482" s="270" t="s">
        <v>218</v>
      </c>
      <c r="AA482" s="268" t="s">
        <v>218</v>
      </c>
      <c r="AB482" s="268" t="s">
        <v>218</v>
      </c>
      <c r="AC482" s="269" t="s">
        <v>219</v>
      </c>
      <c r="AD482" s="269" t="s">
        <v>218</v>
      </c>
      <c r="AE482" s="269" t="s">
        <v>219</v>
      </c>
      <c r="AF482" s="268">
        <v>1</v>
      </c>
      <c r="AG482" s="239">
        <v>1</v>
      </c>
      <c r="AH482" s="239"/>
      <c r="AI482" s="239">
        <v>1</v>
      </c>
      <c r="AJ482" s="239">
        <v>1</v>
      </c>
    </row>
    <row r="483" spans="1:36" s="81" customFormat="1" ht="32.25" customHeight="1" x14ac:dyDescent="0.3">
      <c r="A483" s="5">
        <v>476</v>
      </c>
      <c r="B483" s="84" t="s">
        <v>196</v>
      </c>
      <c r="D483" s="240" t="s">
        <v>1380</v>
      </c>
      <c r="E483" s="239">
        <v>164</v>
      </c>
      <c r="F483" s="239"/>
      <c r="G483" s="239" t="s">
        <v>245</v>
      </c>
      <c r="H483" s="84" t="s">
        <v>1168</v>
      </c>
      <c r="I483" s="239" t="s">
        <v>886</v>
      </c>
      <c r="J483" s="239" t="s">
        <v>887</v>
      </c>
      <c r="K483" s="118"/>
      <c r="L483" s="239"/>
      <c r="M483" s="239">
        <v>1901</v>
      </c>
      <c r="N483" s="239" t="s">
        <v>893</v>
      </c>
      <c r="O483" s="239">
        <v>4</v>
      </c>
      <c r="P483" s="239">
        <v>0</v>
      </c>
      <c r="Q483" s="239">
        <v>1</v>
      </c>
      <c r="R483" s="239">
        <v>17</v>
      </c>
      <c r="S483" s="266">
        <f t="shared" si="12"/>
        <v>1374.6</v>
      </c>
      <c r="T483" s="267">
        <v>1374.6</v>
      </c>
      <c r="U483" s="267">
        <v>891.7</v>
      </c>
      <c r="V483" s="267">
        <v>261.39999999999998</v>
      </c>
      <c r="W483" s="268" t="s">
        <v>218</v>
      </c>
      <c r="X483" s="268" t="s">
        <v>218</v>
      </c>
      <c r="Y483" s="269" t="s">
        <v>219</v>
      </c>
      <c r="Z483" s="270" t="s">
        <v>218</v>
      </c>
      <c r="AA483" s="268" t="s">
        <v>218</v>
      </c>
      <c r="AB483" s="268" t="s">
        <v>218</v>
      </c>
      <c r="AC483" s="269" t="s">
        <v>218</v>
      </c>
      <c r="AD483" s="269" t="s">
        <v>218</v>
      </c>
      <c r="AE483" s="269" t="s">
        <v>219</v>
      </c>
      <c r="AF483" s="268">
        <v>0</v>
      </c>
      <c r="AG483" s="239">
        <v>1</v>
      </c>
      <c r="AH483" s="239"/>
      <c r="AI483" s="239">
        <v>0</v>
      </c>
      <c r="AJ483" s="239">
        <v>0</v>
      </c>
    </row>
    <row r="484" spans="1:36" s="81" customFormat="1" ht="32.25" customHeight="1" x14ac:dyDescent="0.3">
      <c r="A484" s="80">
        <v>477</v>
      </c>
      <c r="B484" s="84" t="s">
        <v>196</v>
      </c>
      <c r="D484" s="240" t="s">
        <v>1380</v>
      </c>
      <c r="E484" s="239">
        <v>164</v>
      </c>
      <c r="F484" s="239"/>
      <c r="G484" s="239" t="s">
        <v>1356</v>
      </c>
      <c r="H484" s="84" t="s">
        <v>1169</v>
      </c>
      <c r="I484" s="239" t="s">
        <v>886</v>
      </c>
      <c r="J484" s="118" t="s">
        <v>904</v>
      </c>
      <c r="K484" s="118"/>
      <c r="L484" s="118"/>
      <c r="M484" s="239">
        <v>1893</v>
      </c>
      <c r="N484" s="239" t="s">
        <v>893</v>
      </c>
      <c r="O484" s="239">
        <v>2</v>
      </c>
      <c r="P484" s="239">
        <v>0</v>
      </c>
      <c r="Q484" s="239">
        <v>1</v>
      </c>
      <c r="R484" s="239">
        <v>1</v>
      </c>
      <c r="S484" s="266">
        <f t="shared" si="12"/>
        <v>154</v>
      </c>
      <c r="T484" s="267">
        <v>154</v>
      </c>
      <c r="U484" s="267">
        <v>154</v>
      </c>
      <c r="V484" s="267">
        <v>0</v>
      </c>
      <c r="W484" s="268" t="s">
        <v>218</v>
      </c>
      <c r="X484" s="268" t="s">
        <v>218</v>
      </c>
      <c r="Y484" s="269" t="s">
        <v>219</v>
      </c>
      <c r="Z484" s="270" t="s">
        <v>218</v>
      </c>
      <c r="AA484" s="268" t="s">
        <v>218</v>
      </c>
      <c r="AB484" s="268" t="s">
        <v>218</v>
      </c>
      <c r="AC484" s="269" t="s">
        <v>218</v>
      </c>
      <c r="AD484" s="269" t="s">
        <v>218</v>
      </c>
      <c r="AE484" s="269" t="s">
        <v>219</v>
      </c>
      <c r="AF484" s="268">
        <v>0</v>
      </c>
      <c r="AG484" s="239" t="s">
        <v>933</v>
      </c>
      <c r="AH484" s="239"/>
      <c r="AI484" s="239">
        <v>0</v>
      </c>
      <c r="AJ484" s="239">
        <v>0</v>
      </c>
    </row>
    <row r="485" spans="1:36" s="81" customFormat="1" ht="32.25" customHeight="1" x14ac:dyDescent="0.3">
      <c r="A485" s="5">
        <v>478</v>
      </c>
      <c r="B485" s="84" t="s">
        <v>196</v>
      </c>
      <c r="D485" s="240" t="s">
        <v>1380</v>
      </c>
      <c r="E485" s="239">
        <v>166</v>
      </c>
      <c r="F485" s="239"/>
      <c r="G485" s="239" t="s">
        <v>245</v>
      </c>
      <c r="H485" s="84" t="s">
        <v>1170</v>
      </c>
      <c r="I485" s="239" t="s">
        <v>886</v>
      </c>
      <c r="J485" s="239" t="s">
        <v>887</v>
      </c>
      <c r="K485" s="118"/>
      <c r="L485" s="239"/>
      <c r="M485" s="282">
        <v>1888</v>
      </c>
      <c r="N485" s="239" t="s">
        <v>893</v>
      </c>
      <c r="O485" s="282">
        <v>6</v>
      </c>
      <c r="P485" s="239">
        <v>0</v>
      </c>
      <c r="Q485" s="282">
        <v>3</v>
      </c>
      <c r="R485" s="239">
        <v>31</v>
      </c>
      <c r="S485" s="266">
        <f t="shared" si="12"/>
        <v>2137.9</v>
      </c>
      <c r="T485" s="267">
        <v>2137.9</v>
      </c>
      <c r="U485" s="267">
        <v>1674.2</v>
      </c>
      <c r="V485" s="267">
        <v>463.7</v>
      </c>
      <c r="W485" s="268" t="s">
        <v>218</v>
      </c>
      <c r="X485" s="268" t="s">
        <v>218</v>
      </c>
      <c r="Y485" s="269" t="s">
        <v>219</v>
      </c>
      <c r="Z485" s="270" t="s">
        <v>218</v>
      </c>
      <c r="AA485" s="268" t="s">
        <v>218</v>
      </c>
      <c r="AB485" s="268" t="s">
        <v>218</v>
      </c>
      <c r="AC485" s="269" t="s">
        <v>218</v>
      </c>
      <c r="AD485" s="269" t="s">
        <v>218</v>
      </c>
      <c r="AE485" s="269" t="s">
        <v>219</v>
      </c>
      <c r="AF485" s="268">
        <v>0</v>
      </c>
      <c r="AG485" s="239">
        <v>2</v>
      </c>
      <c r="AH485" s="239"/>
      <c r="AI485" s="239">
        <v>0</v>
      </c>
      <c r="AJ485" s="239">
        <v>0</v>
      </c>
    </row>
    <row r="486" spans="1:36" s="81" customFormat="1" ht="32.25" customHeight="1" x14ac:dyDescent="0.3">
      <c r="A486" s="80">
        <v>479</v>
      </c>
      <c r="B486" s="84" t="s">
        <v>196</v>
      </c>
      <c r="D486" s="240" t="s">
        <v>1380</v>
      </c>
      <c r="E486" s="239">
        <v>168</v>
      </c>
      <c r="F486" s="239"/>
      <c r="G486" s="239" t="s">
        <v>245</v>
      </c>
      <c r="H486" s="84" t="s">
        <v>1171</v>
      </c>
      <c r="I486" s="239" t="s">
        <v>886</v>
      </c>
      <c r="J486" s="118" t="s">
        <v>903</v>
      </c>
      <c r="K486" s="118"/>
      <c r="L486" s="118"/>
      <c r="M486" s="282">
        <v>1917</v>
      </c>
      <c r="N486" s="239" t="s">
        <v>893</v>
      </c>
      <c r="O486" s="282">
        <v>3</v>
      </c>
      <c r="P486" s="239">
        <v>0</v>
      </c>
      <c r="Q486" s="282">
        <v>1</v>
      </c>
      <c r="R486" s="239">
        <v>4</v>
      </c>
      <c r="S486" s="266">
        <f t="shared" si="12"/>
        <v>392.9</v>
      </c>
      <c r="T486" s="267">
        <v>392.9</v>
      </c>
      <c r="U486" s="267">
        <v>328.6</v>
      </c>
      <c r="V486" s="267">
        <v>64.3</v>
      </c>
      <c r="W486" s="268" t="s">
        <v>218</v>
      </c>
      <c r="X486" s="268" t="s">
        <v>218</v>
      </c>
      <c r="Y486" s="269" t="s">
        <v>219</v>
      </c>
      <c r="Z486" s="270" t="s">
        <v>218</v>
      </c>
      <c r="AA486" s="268" t="s">
        <v>218</v>
      </c>
      <c r="AB486" s="268" t="s">
        <v>218</v>
      </c>
      <c r="AC486" s="269" t="s">
        <v>218</v>
      </c>
      <c r="AD486" s="269" t="s">
        <v>218</v>
      </c>
      <c r="AE486" s="269" t="s">
        <v>219</v>
      </c>
      <c r="AF486" s="268">
        <v>0</v>
      </c>
      <c r="AG486" s="239">
        <v>1</v>
      </c>
      <c r="AH486" s="239"/>
      <c r="AI486" s="239">
        <v>0</v>
      </c>
      <c r="AJ486" s="239">
        <v>0</v>
      </c>
    </row>
    <row r="487" spans="1:36" s="81" customFormat="1" ht="32.25" customHeight="1" x14ac:dyDescent="0.3">
      <c r="A487" s="5">
        <v>480</v>
      </c>
      <c r="B487" s="84" t="s">
        <v>196</v>
      </c>
      <c r="D487" s="240" t="s">
        <v>1380</v>
      </c>
      <c r="E487" s="239">
        <v>170</v>
      </c>
      <c r="F487" s="239"/>
      <c r="G487" s="239" t="s">
        <v>245</v>
      </c>
      <c r="H487" s="84" t="s">
        <v>1172</v>
      </c>
      <c r="I487" s="239" t="s">
        <v>886</v>
      </c>
      <c r="J487" s="118" t="s">
        <v>887</v>
      </c>
      <c r="K487" s="118"/>
      <c r="L487" s="118"/>
      <c r="M487" s="282">
        <v>1873</v>
      </c>
      <c r="N487" s="239" t="s">
        <v>893</v>
      </c>
      <c r="O487" s="282">
        <v>3</v>
      </c>
      <c r="P487" s="239">
        <v>0</v>
      </c>
      <c r="Q487" s="282">
        <v>1</v>
      </c>
      <c r="R487" s="239">
        <v>6</v>
      </c>
      <c r="S487" s="266">
        <f t="shared" si="12"/>
        <v>294.89999999999998</v>
      </c>
      <c r="T487" s="267">
        <v>294.89999999999998</v>
      </c>
      <c r="U487" s="267">
        <v>294.89999999999998</v>
      </c>
      <c r="V487" s="267">
        <v>0</v>
      </c>
      <c r="W487" s="268" t="s">
        <v>218</v>
      </c>
      <c r="X487" s="268" t="s">
        <v>218</v>
      </c>
      <c r="Y487" s="269" t="s">
        <v>219</v>
      </c>
      <c r="Z487" s="270" t="s">
        <v>218</v>
      </c>
      <c r="AA487" s="268" t="s">
        <v>218</v>
      </c>
      <c r="AB487" s="268" t="s">
        <v>218</v>
      </c>
      <c r="AC487" s="269" t="s">
        <v>218</v>
      </c>
      <c r="AD487" s="269" t="s">
        <v>218</v>
      </c>
      <c r="AE487" s="269" t="s">
        <v>219</v>
      </c>
      <c r="AF487" s="268">
        <v>0</v>
      </c>
      <c r="AG487" s="239">
        <v>1</v>
      </c>
      <c r="AH487" s="239"/>
      <c r="AI487" s="239">
        <v>0</v>
      </c>
      <c r="AJ487" s="239">
        <v>0</v>
      </c>
    </row>
    <row r="488" spans="1:36" s="81" customFormat="1" ht="32.25" customHeight="1" x14ac:dyDescent="0.3">
      <c r="A488" s="80">
        <v>481</v>
      </c>
      <c r="B488" s="84" t="s">
        <v>196</v>
      </c>
      <c r="D488" s="240" t="s">
        <v>1380</v>
      </c>
      <c r="E488" s="239">
        <v>171</v>
      </c>
      <c r="F488" s="239"/>
      <c r="G488" s="239" t="s">
        <v>245</v>
      </c>
      <c r="H488" s="84" t="s">
        <v>1173</v>
      </c>
      <c r="I488" s="239" t="s">
        <v>886</v>
      </c>
      <c r="J488" s="118" t="s">
        <v>904</v>
      </c>
      <c r="K488" s="118"/>
      <c r="L488" s="118"/>
      <c r="M488" s="282">
        <v>1904</v>
      </c>
      <c r="N488" s="239" t="s">
        <v>893</v>
      </c>
      <c r="O488" s="282">
        <v>5</v>
      </c>
      <c r="P488" s="239">
        <v>0</v>
      </c>
      <c r="Q488" s="282">
        <v>1</v>
      </c>
      <c r="R488" s="239">
        <v>16</v>
      </c>
      <c r="S488" s="266">
        <f t="shared" si="12"/>
        <v>1215.8</v>
      </c>
      <c r="T488" s="267">
        <v>1215.8</v>
      </c>
      <c r="U488" s="267">
        <v>879.2</v>
      </c>
      <c r="V488" s="267">
        <v>325.2</v>
      </c>
      <c r="W488" s="268" t="s">
        <v>218</v>
      </c>
      <c r="X488" s="268" t="s">
        <v>218</v>
      </c>
      <c r="Y488" s="269" t="s">
        <v>219</v>
      </c>
      <c r="Z488" s="270" t="s">
        <v>218</v>
      </c>
      <c r="AA488" s="268" t="s">
        <v>218</v>
      </c>
      <c r="AB488" s="268" t="s">
        <v>218</v>
      </c>
      <c r="AC488" s="269" t="s">
        <v>218</v>
      </c>
      <c r="AD488" s="269" t="s">
        <v>218</v>
      </c>
      <c r="AE488" s="269" t="s">
        <v>219</v>
      </c>
      <c r="AF488" s="268">
        <v>0</v>
      </c>
      <c r="AG488" s="239">
        <v>1</v>
      </c>
      <c r="AH488" s="239"/>
      <c r="AI488" s="239">
        <v>0</v>
      </c>
      <c r="AJ488" s="239">
        <v>1</v>
      </c>
    </row>
    <row r="489" spans="1:36" s="81" customFormat="1" ht="32.25" customHeight="1" x14ac:dyDescent="0.3">
      <c r="A489" s="5">
        <v>482</v>
      </c>
      <c r="B489" s="84" t="s">
        <v>196</v>
      </c>
      <c r="D489" s="240" t="s">
        <v>1380</v>
      </c>
      <c r="E489" s="239">
        <v>171</v>
      </c>
      <c r="F489" s="239"/>
      <c r="G489" s="239" t="s">
        <v>1356</v>
      </c>
      <c r="H489" s="84" t="s">
        <v>1174</v>
      </c>
      <c r="I489" s="239" t="s">
        <v>886</v>
      </c>
      <c r="J489" s="118" t="s">
        <v>1381</v>
      </c>
      <c r="K489" s="118"/>
      <c r="L489" s="118"/>
      <c r="M489" s="282"/>
      <c r="N489" s="239" t="s">
        <v>893</v>
      </c>
      <c r="O489" s="239"/>
      <c r="P489" s="239">
        <v>0</v>
      </c>
      <c r="Q489" s="239"/>
      <c r="R489" s="239">
        <v>55</v>
      </c>
      <c r="S489" s="266">
        <f t="shared" si="12"/>
        <v>2728</v>
      </c>
      <c r="T489" s="267">
        <v>2728</v>
      </c>
      <c r="U489" s="267">
        <v>2686</v>
      </c>
      <c r="V489" s="267">
        <v>0</v>
      </c>
      <c r="W489" s="268" t="s">
        <v>218</v>
      </c>
      <c r="X489" s="268" t="s">
        <v>218</v>
      </c>
      <c r="Y489" s="269" t="s">
        <v>219</v>
      </c>
      <c r="Z489" s="270" t="s">
        <v>218</v>
      </c>
      <c r="AA489" s="268" t="s">
        <v>218</v>
      </c>
      <c r="AB489" s="268" t="s">
        <v>218</v>
      </c>
      <c r="AC489" s="269" t="s">
        <v>218</v>
      </c>
      <c r="AD489" s="269" t="s">
        <v>218</v>
      </c>
      <c r="AE489" s="269" t="s">
        <v>219</v>
      </c>
      <c r="AF489" s="268">
        <v>0</v>
      </c>
      <c r="AG489" s="239">
        <v>1</v>
      </c>
      <c r="AH489" s="239"/>
      <c r="AI489" s="239">
        <v>0</v>
      </c>
      <c r="AJ489" s="239">
        <v>1</v>
      </c>
    </row>
    <row r="490" spans="1:36" s="81" customFormat="1" ht="32.25" customHeight="1" x14ac:dyDescent="0.3">
      <c r="A490" s="80">
        <v>483</v>
      </c>
      <c r="B490" s="84" t="s">
        <v>196</v>
      </c>
      <c r="D490" s="240" t="s">
        <v>1380</v>
      </c>
      <c r="E490" s="239">
        <v>172</v>
      </c>
      <c r="F490" s="239"/>
      <c r="G490" s="239" t="s">
        <v>245</v>
      </c>
      <c r="H490" s="84" t="s">
        <v>1175</v>
      </c>
      <c r="I490" s="239" t="s">
        <v>886</v>
      </c>
      <c r="J490" s="118" t="s">
        <v>318</v>
      </c>
      <c r="K490" s="118"/>
      <c r="L490" s="118"/>
      <c r="M490" s="282">
        <v>1957</v>
      </c>
      <c r="N490" s="239" t="s">
        <v>893</v>
      </c>
      <c r="O490" s="282">
        <v>5</v>
      </c>
      <c r="P490" s="239">
        <v>0</v>
      </c>
      <c r="Q490" s="282">
        <v>3</v>
      </c>
      <c r="R490" s="239">
        <v>45</v>
      </c>
      <c r="S490" s="266">
        <f t="shared" si="12"/>
        <v>3202.3</v>
      </c>
      <c r="T490" s="267">
        <v>3202.3</v>
      </c>
      <c r="U490" s="267">
        <v>2585.1</v>
      </c>
      <c r="V490" s="267">
        <v>605.20000000000005</v>
      </c>
      <c r="W490" s="268" t="s">
        <v>218</v>
      </c>
      <c r="X490" s="268" t="s">
        <v>218</v>
      </c>
      <c r="Y490" s="269" t="s">
        <v>219</v>
      </c>
      <c r="Z490" s="270" t="s">
        <v>218</v>
      </c>
      <c r="AA490" s="268" t="s">
        <v>218</v>
      </c>
      <c r="AB490" s="268" t="s">
        <v>218</v>
      </c>
      <c r="AC490" s="269" t="s">
        <v>218</v>
      </c>
      <c r="AD490" s="269" t="s">
        <v>218</v>
      </c>
      <c r="AE490" s="269" t="s">
        <v>219</v>
      </c>
      <c r="AF490" s="268">
        <v>0</v>
      </c>
      <c r="AG490" s="239">
        <v>1</v>
      </c>
      <c r="AH490" s="239"/>
      <c r="AI490" s="239">
        <v>0</v>
      </c>
      <c r="AJ490" s="239">
        <v>1</v>
      </c>
    </row>
    <row r="491" spans="1:36" s="81" customFormat="1" ht="32.25" customHeight="1" x14ac:dyDescent="0.3">
      <c r="A491" s="5">
        <v>484</v>
      </c>
      <c r="B491" s="84" t="s">
        <v>196</v>
      </c>
      <c r="D491" s="240" t="s">
        <v>1380</v>
      </c>
      <c r="E491" s="239">
        <v>173</v>
      </c>
      <c r="F491" s="239"/>
      <c r="G491" s="239" t="s">
        <v>245</v>
      </c>
      <c r="H491" s="84" t="s">
        <v>1176</v>
      </c>
      <c r="I491" s="239" t="s">
        <v>886</v>
      </c>
      <c r="J491" s="118" t="s">
        <v>1358</v>
      </c>
      <c r="K491" s="118"/>
      <c r="L491" s="118"/>
      <c r="M491" s="282">
        <v>1873</v>
      </c>
      <c r="N491" s="239" t="s">
        <v>893</v>
      </c>
      <c r="O491" s="282">
        <v>5</v>
      </c>
      <c r="P491" s="239">
        <v>0</v>
      </c>
      <c r="Q491" s="282">
        <v>1</v>
      </c>
      <c r="R491" s="239">
        <v>15</v>
      </c>
      <c r="S491" s="266">
        <f t="shared" si="12"/>
        <v>1328.5</v>
      </c>
      <c r="T491" s="267">
        <v>1328.5</v>
      </c>
      <c r="U491" s="267">
        <v>967.4</v>
      </c>
      <c r="V491" s="267">
        <v>284.60000000000002</v>
      </c>
      <c r="W491" s="268" t="s">
        <v>218</v>
      </c>
      <c r="X491" s="268" t="s">
        <v>218</v>
      </c>
      <c r="Y491" s="269" t="s">
        <v>219</v>
      </c>
      <c r="Z491" s="270" t="s">
        <v>218</v>
      </c>
      <c r="AA491" s="268" t="s">
        <v>218</v>
      </c>
      <c r="AB491" s="268" t="s">
        <v>218</v>
      </c>
      <c r="AC491" s="269" t="s">
        <v>218</v>
      </c>
      <c r="AD491" s="269" t="s">
        <v>218</v>
      </c>
      <c r="AE491" s="269" t="s">
        <v>219</v>
      </c>
      <c r="AF491" s="268">
        <v>1</v>
      </c>
      <c r="AG491" s="239">
        <v>2</v>
      </c>
      <c r="AH491" s="239"/>
      <c r="AI491" s="239">
        <v>0</v>
      </c>
      <c r="AJ491" s="239">
        <v>0</v>
      </c>
    </row>
    <row r="492" spans="1:36" s="81" customFormat="1" ht="32.25" customHeight="1" x14ac:dyDescent="0.3">
      <c r="A492" s="80">
        <v>485</v>
      </c>
      <c r="B492" s="84" t="s">
        <v>196</v>
      </c>
      <c r="D492" s="240" t="s">
        <v>1380</v>
      </c>
      <c r="E492" s="239">
        <v>175</v>
      </c>
      <c r="F492" s="239"/>
      <c r="G492" s="239" t="s">
        <v>245</v>
      </c>
      <c r="H492" s="84" t="s">
        <v>1177</v>
      </c>
      <c r="I492" s="239" t="s">
        <v>886</v>
      </c>
      <c r="J492" s="118" t="s">
        <v>1358</v>
      </c>
      <c r="K492" s="118" t="s">
        <v>922</v>
      </c>
      <c r="L492" s="239"/>
      <c r="M492" s="282">
        <v>1864</v>
      </c>
      <c r="N492" s="239" t="s">
        <v>893</v>
      </c>
      <c r="O492" s="282">
        <v>5</v>
      </c>
      <c r="P492" s="239">
        <v>0</v>
      </c>
      <c r="Q492" s="282">
        <v>1</v>
      </c>
      <c r="R492" s="239">
        <v>12</v>
      </c>
      <c r="S492" s="266">
        <f t="shared" si="12"/>
        <v>1047.7</v>
      </c>
      <c r="T492" s="267">
        <v>1047.7</v>
      </c>
      <c r="U492" s="267">
        <v>737.9</v>
      </c>
      <c r="V492" s="267">
        <v>242.7</v>
      </c>
      <c r="W492" s="268" t="s">
        <v>218</v>
      </c>
      <c r="X492" s="268" t="s">
        <v>218</v>
      </c>
      <c r="Y492" s="269" t="s">
        <v>219</v>
      </c>
      <c r="Z492" s="270" t="s">
        <v>218</v>
      </c>
      <c r="AA492" s="268" t="s">
        <v>218</v>
      </c>
      <c r="AB492" s="268" t="s">
        <v>218</v>
      </c>
      <c r="AC492" s="269" t="s">
        <v>218</v>
      </c>
      <c r="AD492" s="269" t="s">
        <v>218</v>
      </c>
      <c r="AE492" s="269" t="s">
        <v>219</v>
      </c>
      <c r="AF492" s="268">
        <v>1</v>
      </c>
      <c r="AG492" s="239">
        <v>2</v>
      </c>
      <c r="AH492" s="239"/>
      <c r="AI492" s="239">
        <v>0</v>
      </c>
      <c r="AJ492" s="239">
        <v>0</v>
      </c>
    </row>
    <row r="493" spans="1:36" s="81" customFormat="1" ht="32.25" customHeight="1" x14ac:dyDescent="0.3">
      <c r="A493" s="5">
        <v>486</v>
      </c>
      <c r="B493" s="84" t="s">
        <v>196</v>
      </c>
      <c r="D493" s="240" t="s">
        <v>1380</v>
      </c>
      <c r="E493" s="239">
        <v>177</v>
      </c>
      <c r="F493" s="239"/>
      <c r="G493" s="239" t="s">
        <v>245</v>
      </c>
      <c r="H493" s="84" t="s">
        <v>1178</v>
      </c>
      <c r="I493" s="239" t="s">
        <v>886</v>
      </c>
      <c r="J493" s="118" t="s">
        <v>1358</v>
      </c>
      <c r="K493" s="118"/>
      <c r="L493" s="239"/>
      <c r="M493" s="282">
        <v>1903</v>
      </c>
      <c r="N493" s="239" t="s">
        <v>893</v>
      </c>
      <c r="O493" s="282">
        <v>5</v>
      </c>
      <c r="P493" s="239">
        <v>0</v>
      </c>
      <c r="Q493" s="282">
        <v>1</v>
      </c>
      <c r="R493" s="239">
        <v>16</v>
      </c>
      <c r="S493" s="266">
        <f t="shared" si="12"/>
        <v>1122.0999999999999</v>
      </c>
      <c r="T493" s="267">
        <v>1122.0999999999999</v>
      </c>
      <c r="U493" s="267">
        <v>779.6</v>
      </c>
      <c r="V493" s="267">
        <v>330.6</v>
      </c>
      <c r="W493" s="268" t="s">
        <v>218</v>
      </c>
      <c r="X493" s="268" t="s">
        <v>218</v>
      </c>
      <c r="Y493" s="269" t="s">
        <v>218</v>
      </c>
      <c r="Z493" s="270" t="s">
        <v>218</v>
      </c>
      <c r="AA493" s="268" t="s">
        <v>218</v>
      </c>
      <c r="AB493" s="268" t="s">
        <v>218</v>
      </c>
      <c r="AC493" s="269" t="s">
        <v>219</v>
      </c>
      <c r="AD493" s="269" t="s">
        <v>218</v>
      </c>
      <c r="AE493" s="269" t="s">
        <v>219</v>
      </c>
      <c r="AF493" s="268">
        <v>1</v>
      </c>
      <c r="AG493" s="239">
        <v>2</v>
      </c>
      <c r="AH493" s="239"/>
      <c r="AI493" s="239">
        <v>1</v>
      </c>
      <c r="AJ493" s="239">
        <v>1</v>
      </c>
    </row>
    <row r="494" spans="1:36" s="81" customFormat="1" ht="32.25" customHeight="1" x14ac:dyDescent="0.3">
      <c r="A494" s="80">
        <v>487</v>
      </c>
      <c r="B494" s="84" t="s">
        <v>196</v>
      </c>
      <c r="D494" s="240" t="s">
        <v>1380</v>
      </c>
      <c r="E494" s="239">
        <v>179</v>
      </c>
      <c r="F494" s="239"/>
      <c r="G494" s="239" t="s">
        <v>245</v>
      </c>
      <c r="H494" s="84" t="s">
        <v>1179</v>
      </c>
      <c r="I494" s="239" t="s">
        <v>886</v>
      </c>
      <c r="J494" s="239" t="s">
        <v>318</v>
      </c>
      <c r="K494" s="118"/>
      <c r="L494" s="239"/>
      <c r="M494" s="282">
        <v>1988</v>
      </c>
      <c r="N494" s="239" t="s">
        <v>893</v>
      </c>
      <c r="O494" s="282">
        <v>6</v>
      </c>
      <c r="P494" s="239">
        <v>0</v>
      </c>
      <c r="Q494" s="282">
        <v>1</v>
      </c>
      <c r="R494" s="239">
        <v>15</v>
      </c>
      <c r="S494" s="266">
        <f t="shared" si="12"/>
        <v>981.3</v>
      </c>
      <c r="T494" s="267">
        <v>981.3</v>
      </c>
      <c r="U494" s="267">
        <v>759.3</v>
      </c>
      <c r="V494" s="267">
        <v>215.4</v>
      </c>
      <c r="W494" s="268" t="s">
        <v>218</v>
      </c>
      <c r="X494" s="268" t="s">
        <v>218</v>
      </c>
      <c r="Y494" s="269" t="s">
        <v>218</v>
      </c>
      <c r="Z494" s="270" t="s">
        <v>218</v>
      </c>
      <c r="AA494" s="268" t="s">
        <v>218</v>
      </c>
      <c r="AB494" s="268" t="s">
        <v>218</v>
      </c>
      <c r="AC494" s="269" t="s">
        <v>219</v>
      </c>
      <c r="AD494" s="269" t="s">
        <v>218</v>
      </c>
      <c r="AE494" s="269" t="s">
        <v>219</v>
      </c>
      <c r="AF494" s="268">
        <v>1</v>
      </c>
      <c r="AG494" s="239">
        <v>2</v>
      </c>
      <c r="AH494" s="239"/>
      <c r="AI494" s="239">
        <v>1</v>
      </c>
      <c r="AJ494" s="239">
        <v>1</v>
      </c>
    </row>
    <row r="495" spans="1:36" s="81" customFormat="1" ht="32.25" customHeight="1" x14ac:dyDescent="0.3">
      <c r="A495" s="5">
        <v>488</v>
      </c>
      <c r="B495" s="84" t="s">
        <v>196</v>
      </c>
      <c r="D495" s="240" t="s">
        <v>1380</v>
      </c>
      <c r="E495" s="239">
        <v>180</v>
      </c>
      <c r="F495" s="239"/>
      <c r="G495" s="239" t="s">
        <v>1361</v>
      </c>
      <c r="H495" s="84" t="s">
        <v>1180</v>
      </c>
      <c r="I495" s="239" t="s">
        <v>886</v>
      </c>
      <c r="J495" s="118" t="s">
        <v>903</v>
      </c>
      <c r="K495" s="118"/>
      <c r="L495" s="118"/>
      <c r="M495" s="282">
        <v>1899</v>
      </c>
      <c r="N495" s="239" t="s">
        <v>893</v>
      </c>
      <c r="O495" s="239">
        <v>4</v>
      </c>
      <c r="P495" s="239">
        <v>0</v>
      </c>
      <c r="Q495" s="239">
        <v>1</v>
      </c>
      <c r="R495" s="239">
        <v>16</v>
      </c>
      <c r="S495" s="266">
        <f t="shared" si="12"/>
        <v>938.8</v>
      </c>
      <c r="T495" s="267">
        <v>938.8</v>
      </c>
      <c r="U495" s="267">
        <v>802.4</v>
      </c>
      <c r="V495" s="267">
        <v>136.4</v>
      </c>
      <c r="W495" s="268" t="s">
        <v>218</v>
      </c>
      <c r="X495" s="268" t="s">
        <v>218</v>
      </c>
      <c r="Y495" s="269" t="s">
        <v>219</v>
      </c>
      <c r="Z495" s="270" t="s">
        <v>218</v>
      </c>
      <c r="AA495" s="268" t="s">
        <v>218</v>
      </c>
      <c r="AB495" s="268" t="s">
        <v>218</v>
      </c>
      <c r="AC495" s="269" t="s">
        <v>218</v>
      </c>
      <c r="AD495" s="269" t="s">
        <v>218</v>
      </c>
      <c r="AE495" s="269" t="s">
        <v>219</v>
      </c>
      <c r="AF495" s="268">
        <v>0</v>
      </c>
      <c r="AG495" s="239">
        <v>1</v>
      </c>
      <c r="AH495" s="239"/>
      <c r="AI495" s="239">
        <v>0</v>
      </c>
      <c r="AJ495" s="239">
        <v>0</v>
      </c>
    </row>
    <row r="496" spans="1:36" s="81" customFormat="1" ht="32.25" customHeight="1" x14ac:dyDescent="0.3">
      <c r="A496" s="80">
        <v>489</v>
      </c>
      <c r="B496" s="84" t="s">
        <v>196</v>
      </c>
      <c r="D496" s="240" t="s">
        <v>1380</v>
      </c>
      <c r="E496" s="239">
        <v>183</v>
      </c>
      <c r="F496" s="239"/>
      <c r="G496" s="239" t="s">
        <v>245</v>
      </c>
      <c r="H496" s="84" t="s">
        <v>1181</v>
      </c>
      <c r="I496" s="239" t="s">
        <v>886</v>
      </c>
      <c r="J496" s="118" t="s">
        <v>1357</v>
      </c>
      <c r="K496" s="118"/>
      <c r="L496" s="118"/>
      <c r="M496" s="282">
        <v>1917</v>
      </c>
      <c r="N496" s="239" t="s">
        <v>893</v>
      </c>
      <c r="O496" s="282">
        <v>4</v>
      </c>
      <c r="P496" s="239">
        <v>0</v>
      </c>
      <c r="Q496" s="282">
        <v>1</v>
      </c>
      <c r="R496" s="239">
        <v>6</v>
      </c>
      <c r="S496" s="266">
        <f t="shared" si="12"/>
        <v>841.5</v>
      </c>
      <c r="T496" s="267">
        <v>841.5</v>
      </c>
      <c r="U496" s="267">
        <v>535.9</v>
      </c>
      <c r="V496" s="267">
        <v>291.39999999999998</v>
      </c>
      <c r="W496" s="268" t="s">
        <v>218</v>
      </c>
      <c r="X496" s="268" t="s">
        <v>218</v>
      </c>
      <c r="Y496" s="269" t="s">
        <v>218</v>
      </c>
      <c r="Z496" s="270" t="s">
        <v>218</v>
      </c>
      <c r="AA496" s="268" t="s">
        <v>218</v>
      </c>
      <c r="AB496" s="268" t="s">
        <v>218</v>
      </c>
      <c r="AC496" s="269" t="s">
        <v>219</v>
      </c>
      <c r="AD496" s="269" t="s">
        <v>218</v>
      </c>
      <c r="AE496" s="269" t="s">
        <v>219</v>
      </c>
      <c r="AF496" s="268">
        <v>0</v>
      </c>
      <c r="AG496" s="239">
        <v>1</v>
      </c>
      <c r="AH496" s="239"/>
      <c r="AI496" s="239">
        <v>1</v>
      </c>
      <c r="AJ496" s="239">
        <v>1</v>
      </c>
    </row>
    <row r="497" spans="1:36" s="81" customFormat="1" ht="32.25" customHeight="1" x14ac:dyDescent="0.3">
      <c r="A497" s="5">
        <v>490</v>
      </c>
      <c r="B497" s="84" t="s">
        <v>196</v>
      </c>
      <c r="D497" s="240" t="s">
        <v>1380</v>
      </c>
      <c r="E497" s="239">
        <v>183</v>
      </c>
      <c r="F497" s="239"/>
      <c r="G497" s="239" t="s">
        <v>1356</v>
      </c>
      <c r="H497" s="84" t="s">
        <v>1182</v>
      </c>
      <c r="I497" s="239" t="s">
        <v>886</v>
      </c>
      <c r="J497" s="118" t="s">
        <v>1357</v>
      </c>
      <c r="K497" s="118"/>
      <c r="L497" s="118"/>
      <c r="M497" s="282">
        <v>1905</v>
      </c>
      <c r="N497" s="239" t="s">
        <v>893</v>
      </c>
      <c r="O497" s="282">
        <v>5</v>
      </c>
      <c r="P497" s="239">
        <v>0</v>
      </c>
      <c r="Q497" s="282">
        <v>1</v>
      </c>
      <c r="R497" s="239">
        <v>18</v>
      </c>
      <c r="S497" s="266">
        <f t="shared" si="12"/>
        <v>962.9</v>
      </c>
      <c r="T497" s="267">
        <v>962.9</v>
      </c>
      <c r="U497" s="267">
        <v>908.9</v>
      </c>
      <c r="V497" s="267">
        <v>29.9</v>
      </c>
      <c r="W497" s="268" t="s">
        <v>218</v>
      </c>
      <c r="X497" s="268" t="s">
        <v>218</v>
      </c>
      <c r="Y497" s="269" t="s">
        <v>218</v>
      </c>
      <c r="Z497" s="270" t="s">
        <v>218</v>
      </c>
      <c r="AA497" s="268" t="s">
        <v>218</v>
      </c>
      <c r="AB497" s="268" t="s">
        <v>218</v>
      </c>
      <c r="AC497" s="269" t="s">
        <v>219</v>
      </c>
      <c r="AD497" s="269" t="s">
        <v>218</v>
      </c>
      <c r="AE497" s="269" t="s">
        <v>219</v>
      </c>
      <c r="AF497" s="268">
        <v>0</v>
      </c>
      <c r="AG497" s="239" t="s">
        <v>934</v>
      </c>
      <c r="AH497" s="239"/>
      <c r="AI497" s="239">
        <v>1</v>
      </c>
      <c r="AJ497" s="239">
        <v>1</v>
      </c>
    </row>
    <row r="498" spans="1:36" s="81" customFormat="1" ht="32.25" customHeight="1" x14ac:dyDescent="0.3">
      <c r="A498" s="80">
        <v>491</v>
      </c>
      <c r="B498" s="84" t="s">
        <v>196</v>
      </c>
      <c r="D498" s="240" t="s">
        <v>1380</v>
      </c>
      <c r="E498" s="239">
        <v>183</v>
      </c>
      <c r="F498" s="239"/>
      <c r="G498" s="239" t="s">
        <v>1361</v>
      </c>
      <c r="H498" s="84" t="s">
        <v>1183</v>
      </c>
      <c r="I498" s="239" t="s">
        <v>886</v>
      </c>
      <c r="J498" s="118" t="s">
        <v>1357</v>
      </c>
      <c r="K498" s="118"/>
      <c r="L498" s="118"/>
      <c r="M498" s="282">
        <v>1905</v>
      </c>
      <c r="N498" s="239" t="s">
        <v>893</v>
      </c>
      <c r="O498" s="282">
        <v>5</v>
      </c>
      <c r="P498" s="239">
        <v>0</v>
      </c>
      <c r="Q498" s="282">
        <v>1</v>
      </c>
      <c r="R498" s="239">
        <v>19</v>
      </c>
      <c r="S498" s="266">
        <f t="shared" si="12"/>
        <v>928.1</v>
      </c>
      <c r="T498" s="267">
        <v>928.1</v>
      </c>
      <c r="U498" s="267">
        <v>928.1</v>
      </c>
      <c r="V498" s="267">
        <v>0</v>
      </c>
      <c r="W498" s="268" t="s">
        <v>218</v>
      </c>
      <c r="X498" s="268" t="s">
        <v>218</v>
      </c>
      <c r="Y498" s="269" t="s">
        <v>218</v>
      </c>
      <c r="Z498" s="270" t="s">
        <v>218</v>
      </c>
      <c r="AA498" s="268" t="s">
        <v>218</v>
      </c>
      <c r="AB498" s="268" t="s">
        <v>218</v>
      </c>
      <c r="AC498" s="269" t="s">
        <v>219</v>
      </c>
      <c r="AD498" s="269" t="s">
        <v>218</v>
      </c>
      <c r="AE498" s="269" t="s">
        <v>219</v>
      </c>
      <c r="AF498" s="268">
        <v>0</v>
      </c>
      <c r="AG498" s="239" t="s">
        <v>934</v>
      </c>
      <c r="AH498" s="239"/>
      <c r="AI498" s="239">
        <v>1</v>
      </c>
      <c r="AJ498" s="239">
        <v>1</v>
      </c>
    </row>
    <row r="499" spans="1:36" s="81" customFormat="1" ht="32.25" customHeight="1" x14ac:dyDescent="0.3">
      <c r="A499" s="5">
        <v>492</v>
      </c>
      <c r="B499" s="84" t="s">
        <v>196</v>
      </c>
      <c r="D499" s="240" t="s">
        <v>1380</v>
      </c>
      <c r="E499" s="239">
        <v>183</v>
      </c>
      <c r="F499" s="239"/>
      <c r="G499" s="239" t="s">
        <v>1382</v>
      </c>
      <c r="H499" s="84" t="s">
        <v>1184</v>
      </c>
      <c r="I499" s="239" t="s">
        <v>886</v>
      </c>
      <c r="J499" s="118" t="s">
        <v>1357</v>
      </c>
      <c r="K499" s="118"/>
      <c r="L499" s="118"/>
      <c r="M499" s="282">
        <v>1902</v>
      </c>
      <c r="N499" s="239" t="s">
        <v>893</v>
      </c>
      <c r="O499" s="282">
        <v>5</v>
      </c>
      <c r="P499" s="239">
        <v>0</v>
      </c>
      <c r="Q499" s="282">
        <v>1</v>
      </c>
      <c r="R499" s="239">
        <v>18</v>
      </c>
      <c r="S499" s="266">
        <f t="shared" si="12"/>
        <v>1093.9000000000001</v>
      </c>
      <c r="T499" s="267">
        <v>1093.9000000000001</v>
      </c>
      <c r="U499" s="267">
        <v>953.8</v>
      </c>
      <c r="V499" s="267">
        <v>10.199999999999999</v>
      </c>
      <c r="W499" s="268" t="s">
        <v>218</v>
      </c>
      <c r="X499" s="268" t="s">
        <v>218</v>
      </c>
      <c r="Y499" s="269" t="s">
        <v>218</v>
      </c>
      <c r="Z499" s="270" t="s">
        <v>218</v>
      </c>
      <c r="AA499" s="268" t="s">
        <v>218</v>
      </c>
      <c r="AB499" s="268" t="s">
        <v>218</v>
      </c>
      <c r="AC499" s="269" t="s">
        <v>219</v>
      </c>
      <c r="AD499" s="269" t="s">
        <v>218</v>
      </c>
      <c r="AE499" s="269" t="s">
        <v>219</v>
      </c>
      <c r="AF499" s="268">
        <v>0</v>
      </c>
      <c r="AG499" s="239">
        <v>1</v>
      </c>
      <c r="AH499" s="239"/>
      <c r="AI499" s="239">
        <v>1</v>
      </c>
      <c r="AJ499" s="239">
        <v>1</v>
      </c>
    </row>
    <row r="500" spans="1:36" s="81" customFormat="1" ht="32.25" customHeight="1" x14ac:dyDescent="0.3">
      <c r="A500" s="80">
        <v>493</v>
      </c>
      <c r="B500" s="84" t="s">
        <v>196</v>
      </c>
      <c r="D500" s="240" t="s">
        <v>1380</v>
      </c>
      <c r="E500" s="239">
        <v>183</v>
      </c>
      <c r="F500" s="239"/>
      <c r="G500" s="239" t="s">
        <v>207</v>
      </c>
      <c r="H500" s="84" t="s">
        <v>1185</v>
      </c>
      <c r="I500" s="239" t="s">
        <v>886</v>
      </c>
      <c r="J500" s="118" t="s">
        <v>1357</v>
      </c>
      <c r="K500" s="118"/>
      <c r="L500" s="118"/>
      <c r="M500" s="282">
        <v>1903</v>
      </c>
      <c r="N500" s="239" t="s">
        <v>893</v>
      </c>
      <c r="O500" s="282">
        <v>5</v>
      </c>
      <c r="P500" s="239">
        <v>0</v>
      </c>
      <c r="Q500" s="282">
        <v>1</v>
      </c>
      <c r="R500" s="239">
        <v>19</v>
      </c>
      <c r="S500" s="266">
        <f t="shared" si="12"/>
        <v>1305.4000000000001</v>
      </c>
      <c r="T500" s="267">
        <v>1305.4000000000001</v>
      </c>
      <c r="U500" s="267">
        <v>1071.5999999999999</v>
      </c>
      <c r="V500" s="267">
        <v>233.8</v>
      </c>
      <c r="W500" s="268" t="s">
        <v>218</v>
      </c>
      <c r="X500" s="268" t="s">
        <v>218</v>
      </c>
      <c r="Y500" s="269" t="s">
        <v>218</v>
      </c>
      <c r="Z500" s="270" t="s">
        <v>218</v>
      </c>
      <c r="AA500" s="268" t="s">
        <v>218</v>
      </c>
      <c r="AB500" s="268" t="s">
        <v>218</v>
      </c>
      <c r="AC500" s="269" t="s">
        <v>219</v>
      </c>
      <c r="AD500" s="269" t="s">
        <v>218</v>
      </c>
      <c r="AE500" s="269" t="s">
        <v>219</v>
      </c>
      <c r="AF500" s="268">
        <v>0</v>
      </c>
      <c r="AG500" s="239" t="s">
        <v>935</v>
      </c>
      <c r="AH500" s="239"/>
      <c r="AI500" s="239">
        <v>1</v>
      </c>
      <c r="AJ500" s="239">
        <v>1</v>
      </c>
    </row>
    <row r="501" spans="1:36" s="81" customFormat="1" ht="32.25" customHeight="1" x14ac:dyDescent="0.3">
      <c r="A501" s="5">
        <v>494</v>
      </c>
      <c r="B501" s="84" t="s">
        <v>196</v>
      </c>
      <c r="D501" s="240" t="s">
        <v>1380</v>
      </c>
      <c r="E501" s="239">
        <v>183</v>
      </c>
      <c r="F501" s="239"/>
      <c r="G501" s="239" t="s">
        <v>1383</v>
      </c>
      <c r="H501" s="84" t="s">
        <v>1186</v>
      </c>
      <c r="I501" s="239" t="s">
        <v>886</v>
      </c>
      <c r="J501" s="118" t="s">
        <v>1357</v>
      </c>
      <c r="K501" s="118"/>
      <c r="L501" s="118"/>
      <c r="M501" s="282">
        <v>1883</v>
      </c>
      <c r="N501" s="239" t="s">
        <v>893</v>
      </c>
      <c r="O501" s="282">
        <v>5</v>
      </c>
      <c r="P501" s="239">
        <v>0</v>
      </c>
      <c r="Q501" s="282">
        <v>1</v>
      </c>
      <c r="R501" s="239">
        <v>8</v>
      </c>
      <c r="S501" s="266">
        <f t="shared" si="12"/>
        <v>909.1</v>
      </c>
      <c r="T501" s="267">
        <v>909.1</v>
      </c>
      <c r="U501" s="267">
        <v>763.4</v>
      </c>
      <c r="V501" s="267">
        <v>145.69999999999999</v>
      </c>
      <c r="W501" s="268" t="s">
        <v>218</v>
      </c>
      <c r="X501" s="268" t="s">
        <v>218</v>
      </c>
      <c r="Y501" s="269" t="s">
        <v>218</v>
      </c>
      <c r="Z501" s="270" t="s">
        <v>218</v>
      </c>
      <c r="AA501" s="268" t="s">
        <v>218</v>
      </c>
      <c r="AB501" s="268" t="s">
        <v>218</v>
      </c>
      <c r="AC501" s="269" t="s">
        <v>219</v>
      </c>
      <c r="AD501" s="269" t="s">
        <v>218</v>
      </c>
      <c r="AE501" s="269" t="s">
        <v>219</v>
      </c>
      <c r="AF501" s="268">
        <v>0</v>
      </c>
      <c r="AG501" s="239" t="s">
        <v>935</v>
      </c>
      <c r="AH501" s="239"/>
      <c r="AI501" s="239">
        <v>1</v>
      </c>
      <c r="AJ501" s="239">
        <v>1</v>
      </c>
    </row>
    <row r="502" spans="1:36" s="81" customFormat="1" ht="32.25" customHeight="1" x14ac:dyDescent="0.3">
      <c r="A502" s="80">
        <v>495</v>
      </c>
      <c r="B502" s="84" t="s">
        <v>196</v>
      </c>
      <c r="D502" s="240" t="s">
        <v>1380</v>
      </c>
      <c r="E502" s="239">
        <v>185</v>
      </c>
      <c r="F502" s="239"/>
      <c r="G502" s="239" t="s">
        <v>245</v>
      </c>
      <c r="H502" s="84" t="s">
        <v>1187</v>
      </c>
      <c r="I502" s="239" t="s">
        <v>886</v>
      </c>
      <c r="J502" s="118" t="s">
        <v>318</v>
      </c>
      <c r="K502" s="118"/>
      <c r="L502" s="118"/>
      <c r="M502" s="282">
        <v>1969</v>
      </c>
      <c r="N502" s="239" t="s">
        <v>893</v>
      </c>
      <c r="O502" s="282">
        <v>5</v>
      </c>
      <c r="P502" s="239">
        <v>0</v>
      </c>
      <c r="Q502" s="282">
        <v>3</v>
      </c>
      <c r="R502" s="239">
        <v>42</v>
      </c>
      <c r="S502" s="266">
        <f t="shared" si="12"/>
        <v>2752.3</v>
      </c>
      <c r="T502" s="267">
        <v>2752.3</v>
      </c>
      <c r="U502" s="267">
        <v>2143.9</v>
      </c>
      <c r="V502" s="267">
        <v>470.79999999999995</v>
      </c>
      <c r="W502" s="268" t="s">
        <v>218</v>
      </c>
      <c r="X502" s="268" t="s">
        <v>218</v>
      </c>
      <c r="Y502" s="269" t="s">
        <v>219</v>
      </c>
      <c r="Z502" s="270" t="s">
        <v>218</v>
      </c>
      <c r="AA502" s="268" t="s">
        <v>218</v>
      </c>
      <c r="AB502" s="268" t="s">
        <v>218</v>
      </c>
      <c r="AC502" s="269" t="s">
        <v>218</v>
      </c>
      <c r="AD502" s="269" t="s">
        <v>218</v>
      </c>
      <c r="AE502" s="269" t="s">
        <v>219</v>
      </c>
      <c r="AF502" s="268">
        <v>0</v>
      </c>
      <c r="AG502" s="239">
        <v>1</v>
      </c>
      <c r="AH502" s="239"/>
      <c r="AI502" s="239">
        <v>0</v>
      </c>
      <c r="AJ502" s="239">
        <v>1</v>
      </c>
    </row>
    <row r="503" spans="1:36" s="81" customFormat="1" ht="32.25" customHeight="1" x14ac:dyDescent="0.3">
      <c r="A503" s="5">
        <v>496</v>
      </c>
      <c r="B503" s="84" t="s">
        <v>196</v>
      </c>
      <c r="D503" s="240" t="s">
        <v>1380</v>
      </c>
      <c r="E503" s="239">
        <v>194</v>
      </c>
      <c r="F503" s="239"/>
      <c r="G503" s="239" t="s">
        <v>245</v>
      </c>
      <c r="H503" s="84" t="s">
        <v>1188</v>
      </c>
      <c r="I503" s="239" t="s">
        <v>886</v>
      </c>
      <c r="J503" s="118" t="s">
        <v>903</v>
      </c>
      <c r="K503" s="118"/>
      <c r="L503" s="118"/>
      <c r="M503" s="282">
        <v>1882</v>
      </c>
      <c r="N503" s="239" t="s">
        <v>893</v>
      </c>
      <c r="O503" s="282">
        <v>5</v>
      </c>
      <c r="P503" s="239">
        <v>0</v>
      </c>
      <c r="Q503" s="282">
        <v>2</v>
      </c>
      <c r="R503" s="239">
        <v>33</v>
      </c>
      <c r="S503" s="266">
        <f t="shared" si="12"/>
        <v>2509.1999999999998</v>
      </c>
      <c r="T503" s="267">
        <v>2509.1999999999998</v>
      </c>
      <c r="U503" s="267">
        <v>2228.1</v>
      </c>
      <c r="V503" s="267">
        <v>281.10000000000002</v>
      </c>
      <c r="W503" s="268" t="s">
        <v>218</v>
      </c>
      <c r="X503" s="268" t="s">
        <v>218</v>
      </c>
      <c r="Y503" s="269" t="s">
        <v>219</v>
      </c>
      <c r="Z503" s="270" t="s">
        <v>218</v>
      </c>
      <c r="AA503" s="268" t="s">
        <v>218</v>
      </c>
      <c r="AB503" s="268" t="s">
        <v>218</v>
      </c>
      <c r="AC503" s="269" t="s">
        <v>218</v>
      </c>
      <c r="AD503" s="269" t="s">
        <v>218</v>
      </c>
      <c r="AE503" s="269" t="s">
        <v>219</v>
      </c>
      <c r="AF503" s="268">
        <v>0</v>
      </c>
      <c r="AG503" s="239">
        <v>1</v>
      </c>
      <c r="AH503" s="239"/>
      <c r="AI503" s="239">
        <v>0</v>
      </c>
      <c r="AJ503" s="239">
        <v>1</v>
      </c>
    </row>
    <row r="504" spans="1:36" s="81" customFormat="1" ht="32.25" customHeight="1" x14ac:dyDescent="0.3">
      <c r="A504" s="80">
        <v>497</v>
      </c>
      <c r="B504" s="84" t="s">
        <v>196</v>
      </c>
      <c r="D504" s="240" t="s">
        <v>1380</v>
      </c>
      <c r="E504" s="239">
        <v>196</v>
      </c>
      <c r="F504" s="239"/>
      <c r="G504" s="239" t="s">
        <v>245</v>
      </c>
      <c r="H504" s="84" t="s">
        <v>1189</v>
      </c>
      <c r="I504" s="239" t="s">
        <v>886</v>
      </c>
      <c r="J504" s="118" t="s">
        <v>903</v>
      </c>
      <c r="K504" s="118"/>
      <c r="L504" s="118"/>
      <c r="M504" s="282">
        <v>1902</v>
      </c>
      <c r="N504" s="239" t="s">
        <v>893</v>
      </c>
      <c r="O504" s="282">
        <v>4</v>
      </c>
      <c r="P504" s="239">
        <v>0</v>
      </c>
      <c r="Q504" s="282">
        <v>1</v>
      </c>
      <c r="R504" s="239">
        <v>6</v>
      </c>
      <c r="S504" s="266">
        <f t="shared" si="12"/>
        <v>363.6</v>
      </c>
      <c r="T504" s="267">
        <v>363.6</v>
      </c>
      <c r="U504" s="267">
        <v>333</v>
      </c>
      <c r="V504" s="267">
        <v>0</v>
      </c>
      <c r="W504" s="268" t="s">
        <v>218</v>
      </c>
      <c r="X504" s="268" t="s">
        <v>218</v>
      </c>
      <c r="Y504" s="269" t="s">
        <v>219</v>
      </c>
      <c r="Z504" s="270" t="s">
        <v>218</v>
      </c>
      <c r="AA504" s="268" t="s">
        <v>218</v>
      </c>
      <c r="AB504" s="268" t="s">
        <v>218</v>
      </c>
      <c r="AC504" s="269" t="s">
        <v>218</v>
      </c>
      <c r="AD504" s="269" t="s">
        <v>218</v>
      </c>
      <c r="AE504" s="269" t="s">
        <v>219</v>
      </c>
      <c r="AF504" s="268">
        <v>0</v>
      </c>
      <c r="AG504" s="239">
        <v>1</v>
      </c>
      <c r="AH504" s="239"/>
      <c r="AI504" s="239">
        <v>0</v>
      </c>
      <c r="AJ504" s="239">
        <v>0</v>
      </c>
    </row>
    <row r="505" spans="1:36" s="81" customFormat="1" ht="32.25" customHeight="1" x14ac:dyDescent="0.3">
      <c r="A505" s="5">
        <v>498</v>
      </c>
      <c r="B505" s="84" t="s">
        <v>196</v>
      </c>
      <c r="D505" s="240" t="s">
        <v>1380</v>
      </c>
      <c r="E505" s="239">
        <v>198</v>
      </c>
      <c r="F505" s="239"/>
      <c r="G505" s="239" t="s">
        <v>245</v>
      </c>
      <c r="H505" s="84" t="s">
        <v>1190</v>
      </c>
      <c r="I505" s="239" t="s">
        <v>886</v>
      </c>
      <c r="J505" s="118" t="s">
        <v>887</v>
      </c>
      <c r="K505" s="118"/>
      <c r="L505" s="118"/>
      <c r="M505" s="282">
        <v>1909</v>
      </c>
      <c r="N505" s="239" t="s">
        <v>893</v>
      </c>
      <c r="O505" s="282">
        <v>5</v>
      </c>
      <c r="P505" s="239">
        <v>0</v>
      </c>
      <c r="Q505" s="282">
        <v>1</v>
      </c>
      <c r="R505" s="239">
        <v>12</v>
      </c>
      <c r="S505" s="266">
        <f t="shared" si="12"/>
        <v>1002.9</v>
      </c>
      <c r="T505" s="267">
        <v>1002.9</v>
      </c>
      <c r="U505" s="267">
        <v>824.2</v>
      </c>
      <c r="V505" s="267">
        <v>178.7</v>
      </c>
      <c r="W505" s="268" t="s">
        <v>218</v>
      </c>
      <c r="X505" s="268" t="s">
        <v>218</v>
      </c>
      <c r="Y505" s="269" t="s">
        <v>219</v>
      </c>
      <c r="Z505" s="270" t="s">
        <v>218</v>
      </c>
      <c r="AA505" s="268" t="s">
        <v>218</v>
      </c>
      <c r="AB505" s="268" t="s">
        <v>218</v>
      </c>
      <c r="AC505" s="269" t="s">
        <v>218</v>
      </c>
      <c r="AD505" s="269" t="s">
        <v>218</v>
      </c>
      <c r="AE505" s="269" t="s">
        <v>219</v>
      </c>
      <c r="AF505" s="268">
        <v>0</v>
      </c>
      <c r="AG505" s="239">
        <v>1</v>
      </c>
      <c r="AH505" s="239"/>
      <c r="AI505" s="239">
        <v>0</v>
      </c>
      <c r="AJ505" s="239">
        <v>0</v>
      </c>
    </row>
    <row r="506" spans="1:36" s="81" customFormat="1" ht="32.25" customHeight="1" x14ac:dyDescent="0.3">
      <c r="A506" s="80">
        <v>499</v>
      </c>
      <c r="B506" s="84" t="s">
        <v>196</v>
      </c>
      <c r="D506" s="240" t="s">
        <v>1380</v>
      </c>
      <c r="E506" s="239">
        <v>198</v>
      </c>
      <c r="F506" s="239"/>
      <c r="G506" s="239" t="s">
        <v>1356</v>
      </c>
      <c r="H506" s="84" t="s">
        <v>1191</v>
      </c>
      <c r="I506" s="239" t="s">
        <v>886</v>
      </c>
      <c r="J506" s="118" t="s">
        <v>887</v>
      </c>
      <c r="K506" s="118"/>
      <c r="L506" s="118"/>
      <c r="M506" s="282">
        <v>1908</v>
      </c>
      <c r="N506" s="239" t="s">
        <v>893</v>
      </c>
      <c r="O506" s="239">
        <v>6</v>
      </c>
      <c r="P506" s="239">
        <v>0</v>
      </c>
      <c r="Q506" s="239">
        <v>1</v>
      </c>
      <c r="R506" s="239">
        <v>23</v>
      </c>
      <c r="S506" s="266">
        <f t="shared" si="12"/>
        <v>1178.7</v>
      </c>
      <c r="T506" s="267">
        <v>1178.7</v>
      </c>
      <c r="U506" s="267">
        <v>1175</v>
      </c>
      <c r="V506" s="267">
        <v>0</v>
      </c>
      <c r="W506" s="268" t="s">
        <v>218</v>
      </c>
      <c r="X506" s="268" t="s">
        <v>218</v>
      </c>
      <c r="Y506" s="269" t="s">
        <v>219</v>
      </c>
      <c r="Z506" s="270" t="s">
        <v>218</v>
      </c>
      <c r="AA506" s="268" t="s">
        <v>218</v>
      </c>
      <c r="AB506" s="268" t="s">
        <v>218</v>
      </c>
      <c r="AC506" s="269" t="s">
        <v>218</v>
      </c>
      <c r="AD506" s="269" t="s">
        <v>218</v>
      </c>
      <c r="AE506" s="269" t="s">
        <v>219</v>
      </c>
      <c r="AF506" s="268">
        <v>0</v>
      </c>
      <c r="AG506" s="239">
        <v>1</v>
      </c>
      <c r="AH506" s="239"/>
      <c r="AI506" s="239">
        <v>0</v>
      </c>
      <c r="AJ506" s="239">
        <v>0</v>
      </c>
    </row>
    <row r="507" spans="1:36" s="81" customFormat="1" ht="32.25" customHeight="1" x14ac:dyDescent="0.3">
      <c r="A507" s="5">
        <v>500</v>
      </c>
      <c r="B507" s="84" t="s">
        <v>196</v>
      </c>
      <c r="D507" s="240" t="s">
        <v>1380</v>
      </c>
      <c r="E507" s="239">
        <v>200</v>
      </c>
      <c r="F507" s="239"/>
      <c r="G507" s="239" t="s">
        <v>1356</v>
      </c>
      <c r="H507" s="84" t="s">
        <v>1192</v>
      </c>
      <c r="I507" s="239" t="s">
        <v>886</v>
      </c>
      <c r="J507" s="118" t="s">
        <v>887</v>
      </c>
      <c r="K507" s="118"/>
      <c r="L507" s="118"/>
      <c r="M507" s="282">
        <v>1912</v>
      </c>
      <c r="N507" s="239" t="s">
        <v>893</v>
      </c>
      <c r="O507" s="239">
        <v>6</v>
      </c>
      <c r="P507" s="239">
        <v>0</v>
      </c>
      <c r="Q507" s="239">
        <v>1</v>
      </c>
      <c r="R507" s="239">
        <v>21</v>
      </c>
      <c r="S507" s="266">
        <f t="shared" si="12"/>
        <v>1124.4000000000001</v>
      </c>
      <c r="T507" s="267">
        <v>1124.4000000000001</v>
      </c>
      <c r="U507" s="267">
        <v>1043.9000000000001</v>
      </c>
      <c r="V507" s="267">
        <v>80.5</v>
      </c>
      <c r="W507" s="268" t="s">
        <v>218</v>
      </c>
      <c r="X507" s="268" t="s">
        <v>218</v>
      </c>
      <c r="Y507" s="269" t="s">
        <v>219</v>
      </c>
      <c r="Z507" s="270" t="s">
        <v>218</v>
      </c>
      <c r="AA507" s="268" t="s">
        <v>218</v>
      </c>
      <c r="AB507" s="268" t="s">
        <v>218</v>
      </c>
      <c r="AC507" s="269" t="s">
        <v>218</v>
      </c>
      <c r="AD507" s="269" t="s">
        <v>218</v>
      </c>
      <c r="AE507" s="269" t="s">
        <v>219</v>
      </c>
      <c r="AF507" s="268">
        <v>1</v>
      </c>
      <c r="AG507" s="239" t="s">
        <v>444</v>
      </c>
      <c r="AH507" s="239"/>
      <c r="AI507" s="239">
        <v>0</v>
      </c>
      <c r="AJ507" s="239">
        <v>0</v>
      </c>
    </row>
    <row r="508" spans="1:36" s="81" customFormat="1" ht="32.25" customHeight="1" x14ac:dyDescent="0.3">
      <c r="A508" s="80">
        <v>501</v>
      </c>
      <c r="B508" s="84" t="s">
        <v>196</v>
      </c>
      <c r="D508" s="240" t="s">
        <v>1380</v>
      </c>
      <c r="E508" s="239">
        <v>201</v>
      </c>
      <c r="F508" s="239"/>
      <c r="G508" s="239" t="s">
        <v>245</v>
      </c>
      <c r="H508" s="84" t="s">
        <v>1193</v>
      </c>
      <c r="I508" s="239" t="s">
        <v>886</v>
      </c>
      <c r="J508" s="118" t="s">
        <v>1358</v>
      </c>
      <c r="K508" s="118"/>
      <c r="L508" s="118"/>
      <c r="M508" s="282">
        <v>1917</v>
      </c>
      <c r="N508" s="239" t="s">
        <v>893</v>
      </c>
      <c r="O508" s="282">
        <v>3</v>
      </c>
      <c r="P508" s="239">
        <v>0</v>
      </c>
      <c r="Q508" s="282">
        <v>1</v>
      </c>
      <c r="R508" s="239">
        <v>9</v>
      </c>
      <c r="S508" s="266">
        <f t="shared" si="12"/>
        <v>1005.7</v>
      </c>
      <c r="T508" s="267">
        <v>1005.7</v>
      </c>
      <c r="U508" s="267">
        <v>747.8</v>
      </c>
      <c r="V508" s="267">
        <v>257.89999999999998</v>
      </c>
      <c r="W508" s="268" t="s">
        <v>218</v>
      </c>
      <c r="X508" s="268" t="s">
        <v>218</v>
      </c>
      <c r="Y508" s="269" t="s">
        <v>218</v>
      </c>
      <c r="Z508" s="270" t="s">
        <v>218</v>
      </c>
      <c r="AA508" s="268" t="s">
        <v>218</v>
      </c>
      <c r="AB508" s="268" t="s">
        <v>218</v>
      </c>
      <c r="AC508" s="269" t="s">
        <v>219</v>
      </c>
      <c r="AD508" s="269" t="s">
        <v>218</v>
      </c>
      <c r="AE508" s="269" t="s">
        <v>219</v>
      </c>
      <c r="AF508" s="268">
        <v>0</v>
      </c>
      <c r="AG508" s="239">
        <v>1</v>
      </c>
      <c r="AH508" s="239"/>
      <c r="AI508" s="239">
        <v>0</v>
      </c>
      <c r="AJ508" s="239">
        <v>0</v>
      </c>
    </row>
    <row r="509" spans="1:36" s="81" customFormat="1" ht="32.25" customHeight="1" x14ac:dyDescent="0.3">
      <c r="A509" s="5">
        <v>502</v>
      </c>
      <c r="B509" s="84" t="s">
        <v>196</v>
      </c>
      <c r="D509" s="240" t="s">
        <v>1380</v>
      </c>
      <c r="E509" s="239">
        <v>202</v>
      </c>
      <c r="F509" s="239"/>
      <c r="G509" s="239" t="s">
        <v>245</v>
      </c>
      <c r="H509" s="84" t="s">
        <v>1194</v>
      </c>
      <c r="I509" s="239" t="s">
        <v>886</v>
      </c>
      <c r="J509" s="118" t="s">
        <v>903</v>
      </c>
      <c r="K509" s="118"/>
      <c r="L509" s="118"/>
      <c r="M509" s="282">
        <v>1903</v>
      </c>
      <c r="N509" s="239" t="s">
        <v>893</v>
      </c>
      <c r="O509" s="282">
        <v>5</v>
      </c>
      <c r="P509" s="239">
        <v>0</v>
      </c>
      <c r="Q509" s="282">
        <v>2</v>
      </c>
      <c r="R509" s="239">
        <v>27</v>
      </c>
      <c r="S509" s="266">
        <f t="shared" si="12"/>
        <v>2132.6999999999998</v>
      </c>
      <c r="T509" s="267">
        <v>2132.6999999999998</v>
      </c>
      <c r="U509" s="267">
        <v>1815.6</v>
      </c>
      <c r="V509" s="267">
        <v>317.10000000000002</v>
      </c>
      <c r="W509" s="268" t="s">
        <v>218</v>
      </c>
      <c r="X509" s="268" t="s">
        <v>218</v>
      </c>
      <c r="Y509" s="269" t="s">
        <v>219</v>
      </c>
      <c r="Z509" s="270" t="s">
        <v>218</v>
      </c>
      <c r="AA509" s="268" t="s">
        <v>218</v>
      </c>
      <c r="AB509" s="268" t="s">
        <v>218</v>
      </c>
      <c r="AC509" s="269" t="s">
        <v>218</v>
      </c>
      <c r="AD509" s="269" t="s">
        <v>218</v>
      </c>
      <c r="AE509" s="269" t="s">
        <v>219</v>
      </c>
      <c r="AF509" s="268">
        <v>0</v>
      </c>
      <c r="AG509" s="239">
        <v>1</v>
      </c>
      <c r="AH509" s="239"/>
      <c r="AI509" s="239">
        <v>0</v>
      </c>
      <c r="AJ509" s="239">
        <v>0</v>
      </c>
    </row>
    <row r="510" spans="1:36" s="81" customFormat="1" ht="32.25" customHeight="1" x14ac:dyDescent="0.3">
      <c r="A510" s="80">
        <v>503</v>
      </c>
      <c r="B510" s="84" t="s">
        <v>196</v>
      </c>
      <c r="D510" s="240" t="s">
        <v>1380</v>
      </c>
      <c r="E510" s="239" t="s">
        <v>1384</v>
      </c>
      <c r="F510" s="239"/>
      <c r="G510" s="239" t="s">
        <v>245</v>
      </c>
      <c r="H510" s="84" t="s">
        <v>1195</v>
      </c>
      <c r="I510" s="239" t="s">
        <v>886</v>
      </c>
      <c r="J510" s="118" t="s">
        <v>1358</v>
      </c>
      <c r="K510" s="118"/>
      <c r="L510" s="118"/>
      <c r="M510" s="282">
        <v>1902</v>
      </c>
      <c r="N510" s="239" t="s">
        <v>893</v>
      </c>
      <c r="O510" s="282">
        <v>5</v>
      </c>
      <c r="P510" s="239">
        <v>0</v>
      </c>
      <c r="Q510" s="282">
        <v>2</v>
      </c>
      <c r="R510" s="239">
        <v>16</v>
      </c>
      <c r="S510" s="266">
        <f t="shared" si="12"/>
        <v>2087.4</v>
      </c>
      <c r="T510" s="267">
        <v>2087.4</v>
      </c>
      <c r="U510" s="267">
        <v>1637.9</v>
      </c>
      <c r="V510" s="267">
        <v>422.3</v>
      </c>
      <c r="W510" s="268" t="s">
        <v>218</v>
      </c>
      <c r="X510" s="268" t="s">
        <v>218</v>
      </c>
      <c r="Y510" s="269" t="s">
        <v>218</v>
      </c>
      <c r="Z510" s="270" t="s">
        <v>218</v>
      </c>
      <c r="AA510" s="268" t="s">
        <v>218</v>
      </c>
      <c r="AB510" s="268" t="s">
        <v>218</v>
      </c>
      <c r="AC510" s="269" t="s">
        <v>219</v>
      </c>
      <c r="AD510" s="269" t="s">
        <v>218</v>
      </c>
      <c r="AE510" s="269" t="s">
        <v>219</v>
      </c>
      <c r="AF510" s="268">
        <v>0</v>
      </c>
      <c r="AG510" s="239">
        <v>1</v>
      </c>
      <c r="AH510" s="239"/>
      <c r="AI510" s="239">
        <v>1</v>
      </c>
      <c r="AJ510" s="239">
        <v>1</v>
      </c>
    </row>
    <row r="511" spans="1:36" s="81" customFormat="1" ht="32.25" customHeight="1" x14ac:dyDescent="0.3">
      <c r="A511" s="5">
        <v>504</v>
      </c>
      <c r="B511" s="84" t="s">
        <v>196</v>
      </c>
      <c r="D511" s="240" t="s">
        <v>1380</v>
      </c>
      <c r="E511" s="239">
        <v>210</v>
      </c>
      <c r="F511" s="239"/>
      <c r="G511" s="239" t="s">
        <v>245</v>
      </c>
      <c r="H511" s="84" t="s">
        <v>1196</v>
      </c>
      <c r="I511" s="239" t="s">
        <v>886</v>
      </c>
      <c r="J511" s="118" t="s">
        <v>903</v>
      </c>
      <c r="K511" s="118"/>
      <c r="L511" s="118"/>
      <c r="M511" s="282">
        <v>1902</v>
      </c>
      <c r="N511" s="239" t="s">
        <v>893</v>
      </c>
      <c r="O511" s="282">
        <v>4</v>
      </c>
      <c r="P511" s="239">
        <v>0</v>
      </c>
      <c r="Q511" s="282">
        <v>1</v>
      </c>
      <c r="R511" s="239">
        <v>8</v>
      </c>
      <c r="S511" s="266">
        <f t="shared" si="12"/>
        <v>675.1</v>
      </c>
      <c r="T511" s="267">
        <v>675.1</v>
      </c>
      <c r="U511" s="267">
        <v>447.4</v>
      </c>
      <c r="V511" s="267">
        <v>221.1</v>
      </c>
      <c r="W511" s="268" t="s">
        <v>218</v>
      </c>
      <c r="X511" s="268" t="s">
        <v>218</v>
      </c>
      <c r="Y511" s="269" t="s">
        <v>219</v>
      </c>
      <c r="Z511" s="270" t="s">
        <v>218</v>
      </c>
      <c r="AA511" s="268" t="s">
        <v>218</v>
      </c>
      <c r="AB511" s="268" t="s">
        <v>218</v>
      </c>
      <c r="AC511" s="269" t="s">
        <v>218</v>
      </c>
      <c r="AD511" s="269" t="s">
        <v>218</v>
      </c>
      <c r="AE511" s="269" t="s">
        <v>219</v>
      </c>
      <c r="AF511" s="268">
        <v>0</v>
      </c>
      <c r="AG511" s="239">
        <v>1</v>
      </c>
      <c r="AH511" s="239"/>
      <c r="AI511" s="239">
        <v>0</v>
      </c>
      <c r="AJ511" s="239">
        <v>0</v>
      </c>
    </row>
    <row r="512" spans="1:36" s="81" customFormat="1" ht="32.25" customHeight="1" x14ac:dyDescent="0.3">
      <c r="A512" s="80">
        <v>505</v>
      </c>
      <c r="B512" s="84" t="s">
        <v>196</v>
      </c>
      <c r="D512" s="240" t="s">
        <v>1380</v>
      </c>
      <c r="E512" s="239">
        <v>211</v>
      </c>
      <c r="F512" s="239"/>
      <c r="G512" s="239" t="s">
        <v>245</v>
      </c>
      <c r="H512" s="84" t="s">
        <v>1197</v>
      </c>
      <c r="I512" s="239" t="s">
        <v>886</v>
      </c>
      <c r="J512" s="118" t="s">
        <v>903</v>
      </c>
      <c r="K512" s="118"/>
      <c r="L512" s="118"/>
      <c r="M512" s="282">
        <v>1912</v>
      </c>
      <c r="N512" s="239" t="s">
        <v>893</v>
      </c>
      <c r="O512" s="282">
        <v>5</v>
      </c>
      <c r="P512" s="239">
        <v>0</v>
      </c>
      <c r="Q512" s="282">
        <v>1</v>
      </c>
      <c r="R512" s="239">
        <v>16</v>
      </c>
      <c r="S512" s="266">
        <f t="shared" si="12"/>
        <v>1042.9000000000001</v>
      </c>
      <c r="T512" s="267">
        <v>1042.9000000000001</v>
      </c>
      <c r="U512" s="267">
        <v>819.2</v>
      </c>
      <c r="V512" s="267">
        <v>112.5</v>
      </c>
      <c r="W512" s="268" t="s">
        <v>218</v>
      </c>
      <c r="X512" s="268" t="s">
        <v>218</v>
      </c>
      <c r="Y512" s="269" t="s">
        <v>218</v>
      </c>
      <c r="Z512" s="270" t="s">
        <v>218</v>
      </c>
      <c r="AA512" s="268" t="s">
        <v>218</v>
      </c>
      <c r="AB512" s="268" t="s">
        <v>218</v>
      </c>
      <c r="AC512" s="269" t="s">
        <v>219</v>
      </c>
      <c r="AD512" s="269" t="s">
        <v>218</v>
      </c>
      <c r="AE512" s="269" t="s">
        <v>219</v>
      </c>
      <c r="AF512" s="268">
        <v>0</v>
      </c>
      <c r="AG512" s="239">
        <v>1</v>
      </c>
      <c r="AH512" s="239"/>
      <c r="AI512" s="239">
        <v>1</v>
      </c>
      <c r="AJ512" s="239">
        <v>1</v>
      </c>
    </row>
    <row r="513" spans="1:36" s="81" customFormat="1" ht="32.25" customHeight="1" x14ac:dyDescent="0.3">
      <c r="A513" s="5">
        <v>506</v>
      </c>
      <c r="B513" s="84" t="s">
        <v>196</v>
      </c>
      <c r="D513" s="240" t="s">
        <v>1380</v>
      </c>
      <c r="E513" s="239">
        <v>212</v>
      </c>
      <c r="F513" s="239"/>
      <c r="G513" s="239" t="s">
        <v>245</v>
      </c>
      <c r="H513" s="84" t="s">
        <v>1198</v>
      </c>
      <c r="I513" s="239" t="s">
        <v>886</v>
      </c>
      <c r="J513" s="118" t="s">
        <v>903</v>
      </c>
      <c r="K513" s="118"/>
      <c r="L513" s="118"/>
      <c r="M513" s="239">
        <v>1900</v>
      </c>
      <c r="N513" s="239" t="s">
        <v>893</v>
      </c>
      <c r="O513" s="239">
        <v>4</v>
      </c>
      <c r="P513" s="239">
        <v>0</v>
      </c>
      <c r="Q513" s="239">
        <v>1</v>
      </c>
      <c r="R513" s="239">
        <v>11</v>
      </c>
      <c r="S513" s="266">
        <f t="shared" si="12"/>
        <v>670.8</v>
      </c>
      <c r="T513" s="267">
        <v>670.8</v>
      </c>
      <c r="U513" s="267">
        <v>554.20000000000005</v>
      </c>
      <c r="V513" s="267">
        <v>116.6</v>
      </c>
      <c r="W513" s="268" t="s">
        <v>218</v>
      </c>
      <c r="X513" s="268" t="s">
        <v>218</v>
      </c>
      <c r="Y513" s="269" t="s">
        <v>219</v>
      </c>
      <c r="Z513" s="270" t="s">
        <v>218</v>
      </c>
      <c r="AA513" s="268" t="s">
        <v>218</v>
      </c>
      <c r="AB513" s="268" t="s">
        <v>218</v>
      </c>
      <c r="AC513" s="269" t="s">
        <v>218</v>
      </c>
      <c r="AD513" s="269" t="s">
        <v>218</v>
      </c>
      <c r="AE513" s="269" t="s">
        <v>219</v>
      </c>
      <c r="AF513" s="268">
        <v>0</v>
      </c>
      <c r="AG513" s="239">
        <v>1</v>
      </c>
      <c r="AH513" s="239"/>
      <c r="AI513" s="239">
        <v>0</v>
      </c>
      <c r="AJ513" s="239">
        <v>0</v>
      </c>
    </row>
    <row r="514" spans="1:36" s="81" customFormat="1" ht="32.25" customHeight="1" x14ac:dyDescent="0.3">
      <c r="A514" s="80">
        <v>507</v>
      </c>
      <c r="B514" s="84" t="s">
        <v>196</v>
      </c>
      <c r="D514" s="240" t="s">
        <v>1380</v>
      </c>
      <c r="E514" s="239">
        <v>212</v>
      </c>
      <c r="F514" s="239"/>
      <c r="G514" s="239" t="s">
        <v>1356</v>
      </c>
      <c r="H514" s="84" t="s">
        <v>1199</v>
      </c>
      <c r="I514" s="239" t="s">
        <v>886</v>
      </c>
      <c r="J514" s="118" t="s">
        <v>903</v>
      </c>
      <c r="K514" s="118"/>
      <c r="L514" s="118"/>
      <c r="M514" s="239">
        <v>1901</v>
      </c>
      <c r="N514" s="239" t="s">
        <v>893</v>
      </c>
      <c r="O514" s="239">
        <v>5</v>
      </c>
      <c r="P514" s="239">
        <v>0</v>
      </c>
      <c r="Q514" s="239">
        <v>1</v>
      </c>
      <c r="R514" s="239">
        <v>18</v>
      </c>
      <c r="S514" s="266">
        <f t="shared" si="12"/>
        <v>1103.4000000000001</v>
      </c>
      <c r="T514" s="267">
        <v>1103.4000000000001</v>
      </c>
      <c r="U514" s="267">
        <v>944.4</v>
      </c>
      <c r="V514" s="267">
        <v>159</v>
      </c>
      <c r="W514" s="268" t="s">
        <v>218</v>
      </c>
      <c r="X514" s="268" t="s">
        <v>218</v>
      </c>
      <c r="Y514" s="269" t="s">
        <v>219</v>
      </c>
      <c r="Z514" s="270" t="s">
        <v>218</v>
      </c>
      <c r="AA514" s="268" t="s">
        <v>218</v>
      </c>
      <c r="AB514" s="268" t="s">
        <v>218</v>
      </c>
      <c r="AC514" s="269" t="s">
        <v>218</v>
      </c>
      <c r="AD514" s="269" t="s">
        <v>218</v>
      </c>
      <c r="AE514" s="269" t="s">
        <v>219</v>
      </c>
      <c r="AF514" s="268">
        <v>0</v>
      </c>
      <c r="AG514" s="239" t="s">
        <v>936</v>
      </c>
      <c r="AH514" s="239"/>
      <c r="AI514" s="239">
        <v>0</v>
      </c>
      <c r="AJ514" s="239">
        <v>0</v>
      </c>
    </row>
    <row r="515" spans="1:36" s="81" customFormat="1" ht="32.25" customHeight="1" x14ac:dyDescent="0.3">
      <c r="A515" s="5">
        <v>508</v>
      </c>
      <c r="B515" s="84" t="s">
        <v>196</v>
      </c>
      <c r="D515" s="240" t="s">
        <v>1380</v>
      </c>
      <c r="E515" s="239">
        <v>212</v>
      </c>
      <c r="F515" s="239"/>
      <c r="G515" s="239" t="s">
        <v>1361</v>
      </c>
      <c r="H515" s="84" t="s">
        <v>1200</v>
      </c>
      <c r="I515" s="239" t="s">
        <v>886</v>
      </c>
      <c r="J515" s="118" t="s">
        <v>903</v>
      </c>
      <c r="K515" s="118"/>
      <c r="L515" s="118"/>
      <c r="M515" s="239">
        <v>1907</v>
      </c>
      <c r="N515" s="239" t="s">
        <v>893</v>
      </c>
      <c r="O515" s="239">
        <v>5</v>
      </c>
      <c r="P515" s="239">
        <v>0</v>
      </c>
      <c r="Q515" s="239">
        <v>1</v>
      </c>
      <c r="R515" s="239">
        <v>17</v>
      </c>
      <c r="S515" s="266">
        <f t="shared" si="12"/>
        <v>972.4</v>
      </c>
      <c r="T515" s="267">
        <v>972.4</v>
      </c>
      <c r="U515" s="267">
        <v>895</v>
      </c>
      <c r="V515" s="267">
        <v>51.800000000000004</v>
      </c>
      <c r="W515" s="268" t="s">
        <v>218</v>
      </c>
      <c r="X515" s="268" t="s">
        <v>218</v>
      </c>
      <c r="Y515" s="269" t="s">
        <v>219</v>
      </c>
      <c r="Z515" s="270" t="s">
        <v>218</v>
      </c>
      <c r="AA515" s="268" t="s">
        <v>218</v>
      </c>
      <c r="AB515" s="268" t="s">
        <v>218</v>
      </c>
      <c r="AC515" s="269" t="s">
        <v>218</v>
      </c>
      <c r="AD515" s="269" t="s">
        <v>218</v>
      </c>
      <c r="AE515" s="269" t="s">
        <v>219</v>
      </c>
      <c r="AF515" s="268">
        <v>0</v>
      </c>
      <c r="AG515" s="239">
        <v>1</v>
      </c>
      <c r="AH515" s="239"/>
      <c r="AI515" s="239">
        <v>0</v>
      </c>
      <c r="AJ515" s="239">
        <v>0</v>
      </c>
    </row>
    <row r="516" spans="1:36" s="81" customFormat="1" ht="32.25" customHeight="1" x14ac:dyDescent="0.3">
      <c r="A516" s="80">
        <v>509</v>
      </c>
      <c r="B516" s="84" t="s">
        <v>196</v>
      </c>
      <c r="D516" s="240" t="s">
        <v>1380</v>
      </c>
      <c r="E516" s="239">
        <v>212</v>
      </c>
      <c r="F516" s="239"/>
      <c r="G516" s="239" t="s">
        <v>1383</v>
      </c>
      <c r="H516" s="84" t="s">
        <v>1201</v>
      </c>
      <c r="I516" s="239" t="s">
        <v>886</v>
      </c>
      <c r="J516" s="118" t="s">
        <v>903</v>
      </c>
      <c r="K516" s="118"/>
      <c r="L516" s="118"/>
      <c r="M516" s="239">
        <v>1907</v>
      </c>
      <c r="N516" s="239" t="s">
        <v>893</v>
      </c>
      <c r="O516" s="239">
        <v>5</v>
      </c>
      <c r="P516" s="239">
        <v>0</v>
      </c>
      <c r="Q516" s="239">
        <v>1</v>
      </c>
      <c r="R516" s="239">
        <v>5</v>
      </c>
      <c r="S516" s="266">
        <f t="shared" si="12"/>
        <v>534.4</v>
      </c>
      <c r="T516" s="267">
        <v>534.4</v>
      </c>
      <c r="U516" s="267">
        <v>534.4</v>
      </c>
      <c r="V516" s="267">
        <v>0</v>
      </c>
      <c r="W516" s="268" t="s">
        <v>218</v>
      </c>
      <c r="X516" s="268" t="s">
        <v>218</v>
      </c>
      <c r="Y516" s="269" t="s">
        <v>219</v>
      </c>
      <c r="Z516" s="270" t="s">
        <v>218</v>
      </c>
      <c r="AA516" s="268" t="s">
        <v>218</v>
      </c>
      <c r="AB516" s="268" t="s">
        <v>218</v>
      </c>
      <c r="AC516" s="269" t="s">
        <v>218</v>
      </c>
      <c r="AD516" s="269" t="s">
        <v>218</v>
      </c>
      <c r="AE516" s="269" t="s">
        <v>219</v>
      </c>
      <c r="AF516" s="268">
        <v>0</v>
      </c>
      <c r="AG516" s="239">
        <v>1</v>
      </c>
      <c r="AH516" s="239"/>
      <c r="AI516" s="239">
        <v>0</v>
      </c>
      <c r="AJ516" s="239">
        <v>0</v>
      </c>
    </row>
    <row r="517" spans="1:36" s="81" customFormat="1" ht="32.25" customHeight="1" x14ac:dyDescent="0.3">
      <c r="A517" s="5">
        <v>510</v>
      </c>
      <c r="B517" s="84" t="s">
        <v>196</v>
      </c>
      <c r="D517" s="240" t="s">
        <v>1380</v>
      </c>
      <c r="E517" s="239">
        <v>215</v>
      </c>
      <c r="F517" s="239"/>
      <c r="G517" s="239" t="s">
        <v>245</v>
      </c>
      <c r="H517" s="84" t="s">
        <v>1202</v>
      </c>
      <c r="I517" s="239" t="s">
        <v>886</v>
      </c>
      <c r="J517" s="118" t="s">
        <v>318</v>
      </c>
      <c r="K517" s="118"/>
      <c r="L517" s="118"/>
      <c r="M517" s="282">
        <v>1960</v>
      </c>
      <c r="N517" s="239" t="s">
        <v>893</v>
      </c>
      <c r="O517" s="282">
        <v>5</v>
      </c>
      <c r="P517" s="239">
        <v>0</v>
      </c>
      <c r="Q517" s="282">
        <v>6</v>
      </c>
      <c r="R517" s="239">
        <v>60</v>
      </c>
      <c r="S517" s="266">
        <f t="shared" si="12"/>
        <v>5536.7</v>
      </c>
      <c r="T517" s="267">
        <v>5536.7</v>
      </c>
      <c r="U517" s="267">
        <v>4147.7</v>
      </c>
      <c r="V517" s="267">
        <v>910.2</v>
      </c>
      <c r="W517" s="268" t="s">
        <v>218</v>
      </c>
      <c r="X517" s="268" t="s">
        <v>218</v>
      </c>
      <c r="Y517" s="269" t="s">
        <v>218</v>
      </c>
      <c r="Z517" s="270" t="s">
        <v>218</v>
      </c>
      <c r="AA517" s="268" t="s">
        <v>218</v>
      </c>
      <c r="AB517" s="268" t="s">
        <v>218</v>
      </c>
      <c r="AC517" s="269" t="s">
        <v>219</v>
      </c>
      <c r="AD517" s="269" t="s">
        <v>218</v>
      </c>
      <c r="AE517" s="269" t="s">
        <v>219</v>
      </c>
      <c r="AF517" s="268">
        <v>0</v>
      </c>
      <c r="AG517" s="239">
        <v>2</v>
      </c>
      <c r="AH517" s="239"/>
      <c r="AI517" s="239">
        <v>1</v>
      </c>
      <c r="AJ517" s="239">
        <v>1</v>
      </c>
    </row>
    <row r="518" spans="1:36" s="81" customFormat="1" ht="32.25" customHeight="1" x14ac:dyDescent="0.3">
      <c r="A518" s="80">
        <v>511</v>
      </c>
      <c r="B518" s="84" t="s">
        <v>196</v>
      </c>
      <c r="D518" s="240" t="s">
        <v>1380</v>
      </c>
      <c r="E518" s="239">
        <v>218</v>
      </c>
      <c r="F518" s="239"/>
      <c r="G518" s="239" t="s">
        <v>245</v>
      </c>
      <c r="H518" s="84" t="s">
        <v>1203</v>
      </c>
      <c r="I518" s="239" t="s">
        <v>886</v>
      </c>
      <c r="J518" s="118" t="s">
        <v>903</v>
      </c>
      <c r="K518" s="118"/>
      <c r="L518" s="118"/>
      <c r="M518" s="282">
        <v>1901</v>
      </c>
      <c r="N518" s="239" t="s">
        <v>893</v>
      </c>
      <c r="O518" s="282">
        <v>5</v>
      </c>
      <c r="P518" s="239">
        <v>0</v>
      </c>
      <c r="Q518" s="282">
        <v>3</v>
      </c>
      <c r="R518" s="239">
        <v>13</v>
      </c>
      <c r="S518" s="266">
        <f t="shared" si="12"/>
        <v>3001.2</v>
      </c>
      <c r="T518" s="267">
        <v>3001.2</v>
      </c>
      <c r="U518" s="267">
        <v>2408.1</v>
      </c>
      <c r="V518" s="267">
        <v>577.1</v>
      </c>
      <c r="W518" s="268" t="s">
        <v>218</v>
      </c>
      <c r="X518" s="268" t="s">
        <v>218</v>
      </c>
      <c r="Y518" s="269" t="s">
        <v>219</v>
      </c>
      <c r="Z518" s="270" t="s">
        <v>218</v>
      </c>
      <c r="AA518" s="268" t="s">
        <v>218</v>
      </c>
      <c r="AB518" s="268" t="s">
        <v>218</v>
      </c>
      <c r="AC518" s="269" t="s">
        <v>218</v>
      </c>
      <c r="AD518" s="269" t="s">
        <v>218</v>
      </c>
      <c r="AE518" s="269" t="s">
        <v>219</v>
      </c>
      <c r="AF518" s="268">
        <v>1</v>
      </c>
      <c r="AG518" s="239">
        <v>3</v>
      </c>
      <c r="AH518" s="239"/>
      <c r="AI518" s="239">
        <v>0</v>
      </c>
      <c r="AJ518" s="239">
        <v>0</v>
      </c>
    </row>
    <row r="519" spans="1:36" s="81" customFormat="1" ht="32.25" customHeight="1" x14ac:dyDescent="0.3">
      <c r="A519" s="5">
        <v>512</v>
      </c>
      <c r="B519" s="84" t="s">
        <v>196</v>
      </c>
      <c r="D519" s="240" t="s">
        <v>1380</v>
      </c>
      <c r="E519" s="239">
        <v>225</v>
      </c>
      <c r="F519" s="239"/>
      <c r="G519" s="239" t="s">
        <v>245</v>
      </c>
      <c r="H519" s="84" t="s">
        <v>1204</v>
      </c>
      <c r="I519" s="239" t="s">
        <v>886</v>
      </c>
      <c r="J519" s="118" t="s">
        <v>904</v>
      </c>
      <c r="K519" s="118"/>
      <c r="L519" s="118"/>
      <c r="M519" s="282">
        <v>1898</v>
      </c>
      <c r="N519" s="239" t="s">
        <v>893</v>
      </c>
      <c r="O519" s="282">
        <v>5</v>
      </c>
      <c r="P519" s="239">
        <v>0</v>
      </c>
      <c r="Q519" s="282">
        <v>2</v>
      </c>
      <c r="R519" s="239">
        <v>20</v>
      </c>
      <c r="S519" s="266">
        <f t="shared" si="12"/>
        <v>993.9</v>
      </c>
      <c r="T519" s="267">
        <v>993.9</v>
      </c>
      <c r="U519" s="267">
        <v>936.1</v>
      </c>
      <c r="V519" s="267">
        <v>57.8</v>
      </c>
      <c r="W519" s="268" t="s">
        <v>218</v>
      </c>
      <c r="X519" s="268" t="s">
        <v>218</v>
      </c>
      <c r="Y519" s="269" t="s">
        <v>218</v>
      </c>
      <c r="Z519" s="270" t="s">
        <v>218</v>
      </c>
      <c r="AA519" s="268" t="s">
        <v>218</v>
      </c>
      <c r="AB519" s="268" t="s">
        <v>218</v>
      </c>
      <c r="AC519" s="269" t="s">
        <v>219</v>
      </c>
      <c r="AD519" s="269" t="s">
        <v>218</v>
      </c>
      <c r="AE519" s="269" t="s">
        <v>219</v>
      </c>
      <c r="AF519" s="268">
        <v>0</v>
      </c>
      <c r="AG519" s="239">
        <v>1</v>
      </c>
      <c r="AH519" s="239"/>
      <c r="AI519" s="239">
        <v>1</v>
      </c>
      <c r="AJ519" s="239">
        <v>1</v>
      </c>
    </row>
    <row r="520" spans="1:36" s="81" customFormat="1" ht="32.25" customHeight="1" x14ac:dyDescent="0.3">
      <c r="A520" s="80">
        <v>513</v>
      </c>
      <c r="B520" s="84" t="s">
        <v>196</v>
      </c>
      <c r="D520" s="240" t="s">
        <v>1380</v>
      </c>
      <c r="E520" s="239">
        <v>228</v>
      </c>
      <c r="F520" s="239"/>
      <c r="G520" s="239" t="s">
        <v>245</v>
      </c>
      <c r="H520" s="84" t="s">
        <v>1205</v>
      </c>
      <c r="I520" s="239" t="s">
        <v>886</v>
      </c>
      <c r="J520" s="118" t="s">
        <v>887</v>
      </c>
      <c r="K520" s="118"/>
      <c r="L520" s="118"/>
      <c r="M520" s="282">
        <v>1904</v>
      </c>
      <c r="N520" s="239" t="s">
        <v>893</v>
      </c>
      <c r="O520" s="282">
        <v>5</v>
      </c>
      <c r="P520" s="239">
        <v>0</v>
      </c>
      <c r="Q520" s="282">
        <v>1</v>
      </c>
      <c r="R520" s="239">
        <v>11</v>
      </c>
      <c r="S520" s="266">
        <f t="shared" si="12"/>
        <v>1114.9000000000001</v>
      </c>
      <c r="T520" s="267">
        <v>1114.9000000000001</v>
      </c>
      <c r="U520" s="267">
        <v>875.5</v>
      </c>
      <c r="V520" s="267">
        <v>119.5</v>
      </c>
      <c r="W520" s="268" t="s">
        <v>218</v>
      </c>
      <c r="X520" s="268" t="s">
        <v>218</v>
      </c>
      <c r="Y520" s="269" t="s">
        <v>218</v>
      </c>
      <c r="Z520" s="270" t="s">
        <v>218</v>
      </c>
      <c r="AA520" s="268" t="s">
        <v>218</v>
      </c>
      <c r="AB520" s="268" t="s">
        <v>218</v>
      </c>
      <c r="AC520" s="269" t="s">
        <v>219</v>
      </c>
      <c r="AD520" s="269" t="s">
        <v>218</v>
      </c>
      <c r="AE520" s="269" t="s">
        <v>219</v>
      </c>
      <c r="AF520" s="268">
        <v>0</v>
      </c>
      <c r="AG520" s="239">
        <v>1</v>
      </c>
      <c r="AH520" s="239"/>
      <c r="AI520" s="239">
        <v>1</v>
      </c>
      <c r="AJ520" s="239">
        <v>1</v>
      </c>
    </row>
    <row r="521" spans="1:36" s="81" customFormat="1" ht="32.25" customHeight="1" x14ac:dyDescent="0.3">
      <c r="A521" s="5">
        <v>514</v>
      </c>
      <c r="B521" s="84" t="s">
        <v>196</v>
      </c>
      <c r="D521" s="240" t="s">
        <v>1380</v>
      </c>
      <c r="E521" s="239">
        <v>233</v>
      </c>
      <c r="F521" s="239"/>
      <c r="G521" s="239" t="s">
        <v>245</v>
      </c>
      <c r="H521" s="84" t="s">
        <v>1206</v>
      </c>
      <c r="I521" s="239" t="s">
        <v>886</v>
      </c>
      <c r="J521" s="118" t="s">
        <v>1360</v>
      </c>
      <c r="K521" s="118"/>
      <c r="L521" s="118"/>
      <c r="M521" s="239">
        <v>1898</v>
      </c>
      <c r="N521" s="239" t="s">
        <v>893</v>
      </c>
      <c r="O521" s="239">
        <v>4</v>
      </c>
      <c r="P521" s="239">
        <v>0</v>
      </c>
      <c r="Q521" s="239">
        <v>3</v>
      </c>
      <c r="R521" s="239">
        <v>13</v>
      </c>
      <c r="S521" s="266">
        <f t="shared" si="12"/>
        <v>1248.2</v>
      </c>
      <c r="T521" s="267">
        <v>1248.2</v>
      </c>
      <c r="U521" s="267">
        <v>900.9</v>
      </c>
      <c r="V521" s="267">
        <v>347.3</v>
      </c>
      <c r="W521" s="268" t="s">
        <v>218</v>
      </c>
      <c r="X521" s="268" t="s">
        <v>218</v>
      </c>
      <c r="Y521" s="269" t="s">
        <v>218</v>
      </c>
      <c r="Z521" s="270" t="s">
        <v>218</v>
      </c>
      <c r="AA521" s="268" t="s">
        <v>218</v>
      </c>
      <c r="AB521" s="268" t="s">
        <v>218</v>
      </c>
      <c r="AC521" s="269" t="s">
        <v>219</v>
      </c>
      <c r="AD521" s="269" t="s">
        <v>218</v>
      </c>
      <c r="AE521" s="269" t="s">
        <v>219</v>
      </c>
      <c r="AF521" s="268">
        <v>0</v>
      </c>
      <c r="AG521" s="239">
        <v>1</v>
      </c>
      <c r="AH521" s="239"/>
      <c r="AI521" s="239">
        <v>1</v>
      </c>
      <c r="AJ521" s="239">
        <v>1</v>
      </c>
    </row>
    <row r="522" spans="1:36" s="81" customFormat="1" ht="32.25" customHeight="1" x14ac:dyDescent="0.3">
      <c r="A522" s="80">
        <v>515</v>
      </c>
      <c r="B522" s="84" t="s">
        <v>196</v>
      </c>
      <c r="D522" s="240" t="s">
        <v>1380</v>
      </c>
      <c r="E522" s="239">
        <v>233</v>
      </c>
      <c r="F522" s="239"/>
      <c r="G522" s="239" t="s">
        <v>1356</v>
      </c>
      <c r="H522" s="84" t="s">
        <v>1207</v>
      </c>
      <c r="I522" s="239" t="s">
        <v>886</v>
      </c>
      <c r="J522" s="118" t="s">
        <v>1360</v>
      </c>
      <c r="K522" s="118"/>
      <c r="L522" s="118"/>
      <c r="M522" s="239">
        <v>1904</v>
      </c>
      <c r="N522" s="239" t="s">
        <v>893</v>
      </c>
      <c r="O522" s="239">
        <v>6</v>
      </c>
      <c r="P522" s="239">
        <v>0</v>
      </c>
      <c r="Q522" s="239">
        <v>1</v>
      </c>
      <c r="R522" s="239">
        <v>22</v>
      </c>
      <c r="S522" s="266">
        <f t="shared" si="12"/>
        <v>1440</v>
      </c>
      <c r="T522" s="267">
        <v>1440</v>
      </c>
      <c r="U522" s="267">
        <v>1241.7</v>
      </c>
      <c r="V522" s="267">
        <v>0</v>
      </c>
      <c r="W522" s="268" t="s">
        <v>218</v>
      </c>
      <c r="X522" s="268" t="s">
        <v>218</v>
      </c>
      <c r="Y522" s="269" t="s">
        <v>218</v>
      </c>
      <c r="Z522" s="270" t="s">
        <v>218</v>
      </c>
      <c r="AA522" s="268" t="s">
        <v>218</v>
      </c>
      <c r="AB522" s="268" t="s">
        <v>218</v>
      </c>
      <c r="AC522" s="269" t="s">
        <v>219</v>
      </c>
      <c r="AD522" s="269" t="s">
        <v>218</v>
      </c>
      <c r="AE522" s="269" t="s">
        <v>219</v>
      </c>
      <c r="AF522" s="268">
        <v>1</v>
      </c>
      <c r="AG522" s="239" t="s">
        <v>937</v>
      </c>
      <c r="AH522" s="239"/>
      <c r="AI522" s="239">
        <v>1</v>
      </c>
      <c r="AJ522" s="239">
        <v>1</v>
      </c>
    </row>
    <row r="523" spans="1:36" s="81" customFormat="1" ht="32.25" customHeight="1" x14ac:dyDescent="0.3">
      <c r="A523" s="5">
        <v>516</v>
      </c>
      <c r="B523" s="84" t="s">
        <v>196</v>
      </c>
      <c r="D523" s="240" t="s">
        <v>1380</v>
      </c>
      <c r="E523" s="239">
        <v>235</v>
      </c>
      <c r="F523" s="239"/>
      <c r="G523" s="239" t="s">
        <v>245</v>
      </c>
      <c r="H523" s="84" t="s">
        <v>1208</v>
      </c>
      <c r="I523" s="239" t="s">
        <v>886</v>
      </c>
      <c r="J523" s="118" t="s">
        <v>1360</v>
      </c>
      <c r="K523" s="118"/>
      <c r="L523" s="118"/>
      <c r="M523" s="239">
        <v>1903</v>
      </c>
      <c r="N523" s="239" t="s">
        <v>893</v>
      </c>
      <c r="O523" s="239">
        <v>5</v>
      </c>
      <c r="P523" s="239">
        <v>0</v>
      </c>
      <c r="Q523" s="239">
        <v>1</v>
      </c>
      <c r="R523" s="239">
        <v>16</v>
      </c>
      <c r="S523" s="266">
        <f t="shared" si="12"/>
        <v>1100.4000000000001</v>
      </c>
      <c r="T523" s="267">
        <v>1100.4000000000001</v>
      </c>
      <c r="U523" s="267">
        <v>886.7</v>
      </c>
      <c r="V523" s="267">
        <v>147.6</v>
      </c>
      <c r="W523" s="268" t="s">
        <v>218</v>
      </c>
      <c r="X523" s="268" t="s">
        <v>218</v>
      </c>
      <c r="Y523" s="269" t="s">
        <v>218</v>
      </c>
      <c r="Z523" s="270" t="s">
        <v>218</v>
      </c>
      <c r="AA523" s="268" t="s">
        <v>218</v>
      </c>
      <c r="AB523" s="268" t="s">
        <v>218</v>
      </c>
      <c r="AC523" s="269" t="s">
        <v>219</v>
      </c>
      <c r="AD523" s="269" t="s">
        <v>218</v>
      </c>
      <c r="AE523" s="269" t="s">
        <v>219</v>
      </c>
      <c r="AF523" s="268">
        <v>0</v>
      </c>
      <c r="AG523" s="239">
        <v>1</v>
      </c>
      <c r="AH523" s="239"/>
      <c r="AI523" s="239">
        <v>1</v>
      </c>
      <c r="AJ523" s="239">
        <v>1</v>
      </c>
    </row>
    <row r="524" spans="1:36" s="81" customFormat="1" ht="32.25" customHeight="1" x14ac:dyDescent="0.3">
      <c r="A524" s="80">
        <v>517</v>
      </c>
      <c r="B524" s="84" t="s">
        <v>196</v>
      </c>
      <c r="D524" s="240" t="s">
        <v>1380</v>
      </c>
      <c r="E524" s="239">
        <v>235</v>
      </c>
      <c r="F524" s="239"/>
      <c r="G524" s="239" t="s">
        <v>1356</v>
      </c>
      <c r="H524" s="84" t="s">
        <v>1209</v>
      </c>
      <c r="I524" s="239" t="s">
        <v>886</v>
      </c>
      <c r="J524" s="118" t="s">
        <v>1360</v>
      </c>
      <c r="K524" s="118"/>
      <c r="L524" s="118"/>
      <c r="M524" s="239">
        <v>1911</v>
      </c>
      <c r="N524" s="239" t="s">
        <v>893</v>
      </c>
      <c r="O524" s="239">
        <v>5</v>
      </c>
      <c r="P524" s="239">
        <v>0</v>
      </c>
      <c r="Q524" s="239">
        <v>1</v>
      </c>
      <c r="R524" s="239">
        <v>19</v>
      </c>
      <c r="S524" s="266">
        <f t="shared" si="12"/>
        <v>1071.5999999999999</v>
      </c>
      <c r="T524" s="267">
        <v>1071.5999999999999</v>
      </c>
      <c r="U524" s="267">
        <v>913.4</v>
      </c>
      <c r="V524" s="267">
        <v>0</v>
      </c>
      <c r="W524" s="268" t="s">
        <v>218</v>
      </c>
      <c r="X524" s="268" t="s">
        <v>218</v>
      </c>
      <c r="Y524" s="269" t="s">
        <v>218</v>
      </c>
      <c r="Z524" s="270" t="s">
        <v>218</v>
      </c>
      <c r="AA524" s="268" t="s">
        <v>218</v>
      </c>
      <c r="AB524" s="268" t="s">
        <v>218</v>
      </c>
      <c r="AC524" s="269" t="s">
        <v>219</v>
      </c>
      <c r="AD524" s="269" t="s">
        <v>218</v>
      </c>
      <c r="AE524" s="269" t="s">
        <v>219</v>
      </c>
      <c r="AF524" s="268">
        <v>0</v>
      </c>
      <c r="AG524" s="239">
        <v>1</v>
      </c>
      <c r="AH524" s="239"/>
      <c r="AI524" s="239">
        <v>1</v>
      </c>
      <c r="AJ524" s="239">
        <v>1</v>
      </c>
    </row>
    <row r="525" spans="1:36" s="81" customFormat="1" ht="32.25" customHeight="1" x14ac:dyDescent="0.3">
      <c r="A525" s="5">
        <v>518</v>
      </c>
      <c r="B525" s="84" t="s">
        <v>196</v>
      </c>
      <c r="D525" s="240" t="s">
        <v>1380</v>
      </c>
      <c r="E525" s="239">
        <v>237</v>
      </c>
      <c r="F525" s="239"/>
      <c r="G525" s="239" t="s">
        <v>245</v>
      </c>
      <c r="H525" s="84" t="s">
        <v>1210</v>
      </c>
      <c r="I525" s="239" t="s">
        <v>886</v>
      </c>
      <c r="J525" s="118" t="s">
        <v>1360</v>
      </c>
      <c r="K525" s="118"/>
      <c r="L525" s="118"/>
      <c r="M525" s="239">
        <v>1958</v>
      </c>
      <c r="N525" s="239" t="s">
        <v>893</v>
      </c>
      <c r="O525" s="239">
        <v>5</v>
      </c>
      <c r="P525" s="239">
        <v>0</v>
      </c>
      <c r="Q525" s="239">
        <v>1</v>
      </c>
      <c r="R525" s="239">
        <v>21</v>
      </c>
      <c r="S525" s="266">
        <f t="shared" si="12"/>
        <v>2818.1</v>
      </c>
      <c r="T525" s="267">
        <v>2818.1</v>
      </c>
      <c r="U525" s="267">
        <v>1631.3</v>
      </c>
      <c r="V525" s="267">
        <v>920</v>
      </c>
      <c r="W525" s="268" t="s">
        <v>218</v>
      </c>
      <c r="X525" s="268" t="s">
        <v>218</v>
      </c>
      <c r="Y525" s="269" t="s">
        <v>218</v>
      </c>
      <c r="Z525" s="270" t="s">
        <v>218</v>
      </c>
      <c r="AA525" s="268" t="s">
        <v>218</v>
      </c>
      <c r="AB525" s="268" t="s">
        <v>218</v>
      </c>
      <c r="AC525" s="269" t="s">
        <v>219</v>
      </c>
      <c r="AD525" s="269" t="s">
        <v>218</v>
      </c>
      <c r="AE525" s="269" t="s">
        <v>219</v>
      </c>
      <c r="AF525" s="268">
        <v>0</v>
      </c>
      <c r="AG525" s="239">
        <v>2</v>
      </c>
      <c r="AH525" s="239"/>
      <c r="AI525" s="239">
        <v>1</v>
      </c>
      <c r="AJ525" s="239">
        <v>1</v>
      </c>
    </row>
    <row r="526" spans="1:36" s="81" customFormat="1" ht="32.25" customHeight="1" x14ac:dyDescent="0.3">
      <c r="A526" s="80">
        <v>519</v>
      </c>
      <c r="B526" s="84" t="s">
        <v>196</v>
      </c>
      <c r="D526" s="240" t="s">
        <v>1380</v>
      </c>
      <c r="E526" s="239">
        <v>247</v>
      </c>
      <c r="F526" s="239"/>
      <c r="G526" s="239" t="s">
        <v>245</v>
      </c>
      <c r="H526" s="84" t="s">
        <v>1211</v>
      </c>
      <c r="I526" s="239" t="s">
        <v>886</v>
      </c>
      <c r="J526" s="118" t="s">
        <v>887</v>
      </c>
      <c r="K526" s="118"/>
      <c r="L526" s="118"/>
      <c r="M526" s="282">
        <v>1917</v>
      </c>
      <c r="N526" s="239" t="s">
        <v>893</v>
      </c>
      <c r="O526" s="239">
        <v>4</v>
      </c>
      <c r="P526" s="239">
        <v>0</v>
      </c>
      <c r="Q526" s="239">
        <v>3</v>
      </c>
      <c r="R526" s="239">
        <v>30</v>
      </c>
      <c r="S526" s="266">
        <f t="shared" si="12"/>
        <v>2655.8</v>
      </c>
      <c r="T526" s="267">
        <v>2655.8</v>
      </c>
      <c r="U526" s="267">
        <v>2295.4</v>
      </c>
      <c r="V526" s="267">
        <v>360.4</v>
      </c>
      <c r="W526" s="268" t="s">
        <v>218</v>
      </c>
      <c r="X526" s="268" t="s">
        <v>218</v>
      </c>
      <c r="Y526" s="269" t="s">
        <v>218</v>
      </c>
      <c r="Z526" s="270" t="s">
        <v>218</v>
      </c>
      <c r="AA526" s="268" t="s">
        <v>218</v>
      </c>
      <c r="AB526" s="268" t="s">
        <v>218</v>
      </c>
      <c r="AC526" s="269" t="s">
        <v>219</v>
      </c>
      <c r="AD526" s="269" t="s">
        <v>218</v>
      </c>
      <c r="AE526" s="269" t="s">
        <v>219</v>
      </c>
      <c r="AF526" s="268">
        <v>0</v>
      </c>
      <c r="AG526" s="239">
        <v>1</v>
      </c>
      <c r="AH526" s="239"/>
      <c r="AI526" s="239">
        <v>1</v>
      </c>
      <c r="AJ526" s="239">
        <v>1</v>
      </c>
    </row>
    <row r="527" spans="1:36" s="81" customFormat="1" ht="32.25" customHeight="1" x14ac:dyDescent="0.3">
      <c r="A527" s="5">
        <v>520</v>
      </c>
      <c r="B527" s="84" t="s">
        <v>196</v>
      </c>
      <c r="D527" s="240" t="s">
        <v>1380</v>
      </c>
      <c r="E527" s="239">
        <v>255</v>
      </c>
      <c r="F527" s="239"/>
      <c r="G527" s="239" t="s">
        <v>245</v>
      </c>
      <c r="H527" s="84" t="s">
        <v>1212</v>
      </c>
      <c r="I527" s="239" t="s">
        <v>886</v>
      </c>
      <c r="J527" s="118" t="s">
        <v>1358</v>
      </c>
      <c r="K527" s="118"/>
      <c r="L527" s="118"/>
      <c r="M527" s="282">
        <v>1904</v>
      </c>
      <c r="N527" s="239" t="s">
        <v>893</v>
      </c>
      <c r="O527" s="282">
        <v>4</v>
      </c>
      <c r="P527" s="239">
        <v>0</v>
      </c>
      <c r="Q527" s="282">
        <v>2</v>
      </c>
      <c r="R527" s="239">
        <v>18</v>
      </c>
      <c r="S527" s="266">
        <f t="shared" si="12"/>
        <v>1783.1</v>
      </c>
      <c r="T527" s="267">
        <v>1783.1</v>
      </c>
      <c r="U527" s="267">
        <v>1330</v>
      </c>
      <c r="V527" s="267">
        <v>300.89999999999998</v>
      </c>
      <c r="W527" s="268" t="s">
        <v>218</v>
      </c>
      <c r="X527" s="268" t="s">
        <v>218</v>
      </c>
      <c r="Y527" s="269" t="s">
        <v>218</v>
      </c>
      <c r="Z527" s="270" t="s">
        <v>218</v>
      </c>
      <c r="AA527" s="268" t="s">
        <v>218</v>
      </c>
      <c r="AB527" s="268" t="s">
        <v>218</v>
      </c>
      <c r="AC527" s="269" t="s">
        <v>219</v>
      </c>
      <c r="AD527" s="269" t="s">
        <v>218</v>
      </c>
      <c r="AE527" s="269" t="s">
        <v>219</v>
      </c>
      <c r="AF527" s="268">
        <v>0</v>
      </c>
      <c r="AG527" s="239">
        <v>1</v>
      </c>
      <c r="AH527" s="239"/>
      <c r="AI527" s="239">
        <v>1</v>
      </c>
      <c r="AJ527" s="239">
        <v>1</v>
      </c>
    </row>
    <row r="528" spans="1:36" s="81" customFormat="1" ht="32.25" customHeight="1" x14ac:dyDescent="0.3">
      <c r="A528" s="80">
        <v>521</v>
      </c>
      <c r="B528" s="84" t="s">
        <v>196</v>
      </c>
      <c r="D528" s="240" t="s">
        <v>1380</v>
      </c>
      <c r="E528" s="239">
        <v>257</v>
      </c>
      <c r="F528" s="239"/>
      <c r="G528" s="239" t="s">
        <v>245</v>
      </c>
      <c r="H528" s="84" t="s">
        <v>1213</v>
      </c>
      <c r="I528" s="239" t="s">
        <v>886</v>
      </c>
      <c r="J528" s="118" t="s">
        <v>1381</v>
      </c>
      <c r="K528" s="118"/>
      <c r="L528" s="118"/>
      <c r="M528" s="282">
        <v>1961</v>
      </c>
      <c r="N528" s="239" t="s">
        <v>893</v>
      </c>
      <c r="O528" s="282">
        <v>5</v>
      </c>
      <c r="P528" s="239">
        <v>0</v>
      </c>
      <c r="Q528" s="282">
        <v>2</v>
      </c>
      <c r="R528" s="239">
        <v>38</v>
      </c>
      <c r="S528" s="266">
        <f t="shared" si="12"/>
        <v>1632.3</v>
      </c>
      <c r="T528" s="267">
        <v>1632.3</v>
      </c>
      <c r="U528" s="267">
        <v>1600.3</v>
      </c>
      <c r="V528" s="267">
        <v>0</v>
      </c>
      <c r="W528" s="268" t="s">
        <v>218</v>
      </c>
      <c r="X528" s="268" t="s">
        <v>218</v>
      </c>
      <c r="Y528" s="269" t="s">
        <v>218</v>
      </c>
      <c r="Z528" s="270" t="s">
        <v>218</v>
      </c>
      <c r="AA528" s="268" t="s">
        <v>218</v>
      </c>
      <c r="AB528" s="268" t="s">
        <v>218</v>
      </c>
      <c r="AC528" s="269" t="s">
        <v>219</v>
      </c>
      <c r="AD528" s="269" t="s">
        <v>218</v>
      </c>
      <c r="AE528" s="269" t="s">
        <v>219</v>
      </c>
      <c r="AF528" s="268">
        <v>0</v>
      </c>
      <c r="AG528" s="239">
        <v>1</v>
      </c>
      <c r="AH528" s="239"/>
      <c r="AI528" s="239">
        <v>0</v>
      </c>
      <c r="AJ528" s="239">
        <v>0</v>
      </c>
    </row>
    <row r="529" spans="1:36" s="81" customFormat="1" ht="32.25" customHeight="1" x14ac:dyDescent="0.3">
      <c r="A529" s="5">
        <v>522</v>
      </c>
      <c r="B529" s="84" t="s">
        <v>196</v>
      </c>
      <c r="D529" s="240" t="s">
        <v>1380</v>
      </c>
      <c r="E529" s="239">
        <v>259</v>
      </c>
      <c r="F529" s="239"/>
      <c r="G529" s="239" t="s">
        <v>1385</v>
      </c>
      <c r="H529" s="84" t="s">
        <v>1214</v>
      </c>
      <c r="I529" s="239" t="s">
        <v>886</v>
      </c>
      <c r="J529" s="118" t="s">
        <v>903</v>
      </c>
      <c r="K529" s="118"/>
      <c r="L529" s="118"/>
      <c r="M529" s="282">
        <v>1904</v>
      </c>
      <c r="N529" s="239" t="s">
        <v>893</v>
      </c>
      <c r="O529" s="282">
        <v>4</v>
      </c>
      <c r="P529" s="239">
        <v>0</v>
      </c>
      <c r="Q529" s="282">
        <v>1</v>
      </c>
      <c r="R529" s="239">
        <v>6</v>
      </c>
      <c r="S529" s="266">
        <f t="shared" si="12"/>
        <v>563.1</v>
      </c>
      <c r="T529" s="267">
        <v>563.1</v>
      </c>
      <c r="U529" s="267">
        <v>418.8</v>
      </c>
      <c r="V529" s="267">
        <v>144.30000000000001</v>
      </c>
      <c r="W529" s="268" t="s">
        <v>218</v>
      </c>
      <c r="X529" s="268" t="s">
        <v>218</v>
      </c>
      <c r="Y529" s="269" t="s">
        <v>218</v>
      </c>
      <c r="Z529" s="270" t="s">
        <v>218</v>
      </c>
      <c r="AA529" s="268" t="s">
        <v>218</v>
      </c>
      <c r="AB529" s="268" t="s">
        <v>218</v>
      </c>
      <c r="AC529" s="269" t="s">
        <v>219</v>
      </c>
      <c r="AD529" s="269" t="s">
        <v>218</v>
      </c>
      <c r="AE529" s="269" t="s">
        <v>219</v>
      </c>
      <c r="AF529" s="268">
        <v>0</v>
      </c>
      <c r="AG529" s="239">
        <v>1</v>
      </c>
      <c r="AH529" s="239"/>
      <c r="AI529" s="239">
        <v>1</v>
      </c>
      <c r="AJ529" s="239">
        <v>1</v>
      </c>
    </row>
    <row r="530" spans="1:36" s="81" customFormat="1" ht="32.25" customHeight="1" x14ac:dyDescent="0.3">
      <c r="A530" s="80">
        <v>523</v>
      </c>
      <c r="B530" s="84" t="s">
        <v>196</v>
      </c>
      <c r="D530" s="240" t="s">
        <v>1380</v>
      </c>
      <c r="E530" s="239">
        <v>261</v>
      </c>
      <c r="F530" s="239"/>
      <c r="G530" s="239" t="s">
        <v>245</v>
      </c>
      <c r="H530" s="84" t="s">
        <v>1215</v>
      </c>
      <c r="I530" s="239" t="s">
        <v>886</v>
      </c>
      <c r="J530" s="118" t="s">
        <v>903</v>
      </c>
      <c r="K530" s="118"/>
      <c r="L530" s="118"/>
      <c r="M530" s="282">
        <v>1917</v>
      </c>
      <c r="N530" s="239" t="s">
        <v>893</v>
      </c>
      <c r="O530" s="282">
        <v>3</v>
      </c>
      <c r="P530" s="239">
        <v>0</v>
      </c>
      <c r="Q530" s="282">
        <v>2</v>
      </c>
      <c r="R530" s="239">
        <v>9</v>
      </c>
      <c r="S530" s="266">
        <f t="shared" si="12"/>
        <v>750.9</v>
      </c>
      <c r="T530" s="267">
        <v>750.9</v>
      </c>
      <c r="U530" s="267">
        <v>604.4</v>
      </c>
      <c r="V530" s="267">
        <v>101.4</v>
      </c>
      <c r="W530" s="268" t="s">
        <v>218</v>
      </c>
      <c r="X530" s="268" t="s">
        <v>218</v>
      </c>
      <c r="Y530" s="269" t="s">
        <v>218</v>
      </c>
      <c r="Z530" s="270" t="s">
        <v>218</v>
      </c>
      <c r="AA530" s="268" t="s">
        <v>218</v>
      </c>
      <c r="AB530" s="268" t="s">
        <v>218</v>
      </c>
      <c r="AC530" s="269" t="s">
        <v>219</v>
      </c>
      <c r="AD530" s="269" t="s">
        <v>218</v>
      </c>
      <c r="AE530" s="269" t="s">
        <v>219</v>
      </c>
      <c r="AF530" s="268">
        <v>0</v>
      </c>
      <c r="AG530" s="239">
        <v>1</v>
      </c>
      <c r="AH530" s="239"/>
      <c r="AI530" s="239">
        <v>1</v>
      </c>
      <c r="AJ530" s="239">
        <v>1</v>
      </c>
    </row>
    <row r="531" spans="1:36" s="81" customFormat="1" ht="32.25" customHeight="1" x14ac:dyDescent="0.3">
      <c r="A531" s="5">
        <v>524</v>
      </c>
      <c r="B531" s="84" t="s">
        <v>196</v>
      </c>
      <c r="D531" s="240" t="s">
        <v>1380</v>
      </c>
      <c r="E531" s="239">
        <v>263</v>
      </c>
      <c r="F531" s="239"/>
      <c r="G531" s="239" t="s">
        <v>245</v>
      </c>
      <c r="H531" s="84" t="s">
        <v>1216</v>
      </c>
      <c r="I531" s="239" t="s">
        <v>886</v>
      </c>
      <c r="J531" s="118" t="s">
        <v>903</v>
      </c>
      <c r="K531" s="118"/>
      <c r="L531" s="118"/>
      <c r="M531" s="282">
        <v>1864</v>
      </c>
      <c r="N531" s="239" t="s">
        <v>893</v>
      </c>
      <c r="O531" s="282">
        <v>6</v>
      </c>
      <c r="P531" s="239">
        <v>0</v>
      </c>
      <c r="Q531" s="282">
        <v>2</v>
      </c>
      <c r="R531" s="239">
        <v>39</v>
      </c>
      <c r="S531" s="266">
        <f t="shared" si="12"/>
        <v>2214</v>
      </c>
      <c r="T531" s="267">
        <v>2214</v>
      </c>
      <c r="U531" s="267">
        <v>1906.9</v>
      </c>
      <c r="V531" s="267">
        <v>239.5</v>
      </c>
      <c r="W531" s="268" t="s">
        <v>218</v>
      </c>
      <c r="X531" s="268" t="s">
        <v>218</v>
      </c>
      <c r="Y531" s="269" t="s">
        <v>218</v>
      </c>
      <c r="Z531" s="270" t="s">
        <v>218</v>
      </c>
      <c r="AA531" s="268" t="s">
        <v>218</v>
      </c>
      <c r="AB531" s="268" t="s">
        <v>218</v>
      </c>
      <c r="AC531" s="269" t="s">
        <v>219</v>
      </c>
      <c r="AD531" s="269" t="s">
        <v>218</v>
      </c>
      <c r="AE531" s="269" t="s">
        <v>219</v>
      </c>
      <c r="AF531" s="268">
        <v>1</v>
      </c>
      <c r="AG531" s="239">
        <v>1</v>
      </c>
      <c r="AH531" s="239"/>
      <c r="AI531" s="239">
        <v>1</v>
      </c>
      <c r="AJ531" s="239">
        <v>1</v>
      </c>
    </row>
    <row r="532" spans="1:36" s="81" customFormat="1" ht="32.25" customHeight="1" x14ac:dyDescent="0.3">
      <c r="A532" s="80">
        <v>525</v>
      </c>
      <c r="B532" s="84" t="s">
        <v>196</v>
      </c>
      <c r="D532" s="240" t="s">
        <v>1380</v>
      </c>
      <c r="E532" s="239">
        <v>237</v>
      </c>
      <c r="F532" s="239"/>
      <c r="G532" s="239" t="s">
        <v>245</v>
      </c>
      <c r="H532" s="84" t="s">
        <v>1217</v>
      </c>
      <c r="I532" s="239" t="s">
        <v>886</v>
      </c>
      <c r="J532" s="118" t="s">
        <v>318</v>
      </c>
      <c r="K532" s="118"/>
      <c r="L532" s="118"/>
      <c r="M532" s="282">
        <v>1902</v>
      </c>
      <c r="N532" s="239" t="s">
        <v>893</v>
      </c>
      <c r="O532" s="282">
        <v>5</v>
      </c>
      <c r="P532" s="239">
        <v>0</v>
      </c>
      <c r="Q532" s="282">
        <v>2</v>
      </c>
      <c r="R532" s="239">
        <v>34</v>
      </c>
      <c r="S532" s="266">
        <f t="shared" si="12"/>
        <v>2186.3000000000002</v>
      </c>
      <c r="T532" s="267">
        <v>2186.3000000000002</v>
      </c>
      <c r="U532" s="267">
        <v>2128.8000000000002</v>
      </c>
      <c r="V532" s="267">
        <v>40</v>
      </c>
      <c r="W532" s="268" t="s">
        <v>218</v>
      </c>
      <c r="X532" s="268" t="s">
        <v>218</v>
      </c>
      <c r="Y532" s="269" t="s">
        <v>218</v>
      </c>
      <c r="Z532" s="270" t="s">
        <v>218</v>
      </c>
      <c r="AA532" s="268" t="s">
        <v>218</v>
      </c>
      <c r="AB532" s="268" t="s">
        <v>218</v>
      </c>
      <c r="AC532" s="269" t="s">
        <v>219</v>
      </c>
      <c r="AD532" s="269" t="s">
        <v>218</v>
      </c>
      <c r="AE532" s="269" t="s">
        <v>219</v>
      </c>
      <c r="AF532" s="268">
        <v>1</v>
      </c>
      <c r="AG532" s="239">
        <v>2</v>
      </c>
      <c r="AH532" s="239"/>
      <c r="AI532" s="239">
        <v>1</v>
      </c>
      <c r="AJ532" s="239">
        <v>1</v>
      </c>
    </row>
    <row r="533" spans="1:36" s="81" customFormat="1" ht="32.25" customHeight="1" x14ac:dyDescent="0.3">
      <c r="A533" s="5">
        <v>526</v>
      </c>
      <c r="B533" s="84" t="s">
        <v>196</v>
      </c>
      <c r="D533" s="240" t="s">
        <v>1386</v>
      </c>
      <c r="E533" s="239">
        <v>5</v>
      </c>
      <c r="F533" s="239"/>
      <c r="G533" s="239" t="s">
        <v>245</v>
      </c>
      <c r="H533" s="84" t="s">
        <v>1218</v>
      </c>
      <c r="I533" s="239" t="s">
        <v>886</v>
      </c>
      <c r="J533" s="118" t="s">
        <v>924</v>
      </c>
      <c r="K533" s="118"/>
      <c r="L533" s="118"/>
      <c r="M533" s="282">
        <v>1951</v>
      </c>
      <c r="N533" s="239" t="s">
        <v>893</v>
      </c>
      <c r="O533" s="282">
        <v>4</v>
      </c>
      <c r="P533" s="239">
        <v>0</v>
      </c>
      <c r="Q533" s="282">
        <v>2</v>
      </c>
      <c r="R533" s="239">
        <v>5</v>
      </c>
      <c r="S533" s="266">
        <f t="shared" si="12"/>
        <v>1923.8</v>
      </c>
      <c r="T533" s="267">
        <v>1923.8</v>
      </c>
      <c r="U533" s="267">
        <v>1726.5</v>
      </c>
      <c r="V533" s="267">
        <v>0</v>
      </c>
      <c r="W533" s="268" t="s">
        <v>218</v>
      </c>
      <c r="X533" s="268" t="s">
        <v>218</v>
      </c>
      <c r="Y533" s="269" t="s">
        <v>218</v>
      </c>
      <c r="Z533" s="270" t="s">
        <v>218</v>
      </c>
      <c r="AA533" s="268" t="s">
        <v>218</v>
      </c>
      <c r="AB533" s="268" t="s">
        <v>218</v>
      </c>
      <c r="AC533" s="269" t="s">
        <v>219</v>
      </c>
      <c r="AD533" s="269" t="s">
        <v>218</v>
      </c>
      <c r="AE533" s="269" t="s">
        <v>219</v>
      </c>
      <c r="AF533" s="268">
        <v>0</v>
      </c>
      <c r="AG533" s="239" t="s">
        <v>444</v>
      </c>
      <c r="AH533" s="239"/>
      <c r="AI533" s="239">
        <v>0</v>
      </c>
      <c r="AJ533" s="239">
        <v>0</v>
      </c>
    </row>
    <row r="534" spans="1:36" s="81" customFormat="1" ht="32.25" customHeight="1" x14ac:dyDescent="0.3">
      <c r="A534" s="80">
        <v>527</v>
      </c>
      <c r="B534" s="84" t="s">
        <v>196</v>
      </c>
      <c r="D534" s="240" t="s">
        <v>1386</v>
      </c>
      <c r="E534" s="239">
        <v>7</v>
      </c>
      <c r="F534" s="239"/>
      <c r="G534" s="239" t="s">
        <v>245</v>
      </c>
      <c r="H534" s="84" t="s">
        <v>1219</v>
      </c>
      <c r="I534" s="239" t="s">
        <v>886</v>
      </c>
      <c r="J534" s="118" t="s">
        <v>887</v>
      </c>
      <c r="K534" s="118"/>
      <c r="L534" s="118"/>
      <c r="M534" s="282">
        <v>1939</v>
      </c>
      <c r="N534" s="239" t="s">
        <v>893</v>
      </c>
      <c r="O534" s="282">
        <v>5</v>
      </c>
      <c r="P534" s="239">
        <v>0</v>
      </c>
      <c r="Q534" s="282">
        <v>10</v>
      </c>
      <c r="R534" s="239">
        <v>90</v>
      </c>
      <c r="S534" s="266">
        <f t="shared" si="12"/>
        <v>7103.8</v>
      </c>
      <c r="T534" s="267">
        <v>7103.8</v>
      </c>
      <c r="U534" s="267">
        <v>6059.3</v>
      </c>
      <c r="V534" s="267">
        <v>616.5</v>
      </c>
      <c r="W534" s="268" t="s">
        <v>218</v>
      </c>
      <c r="X534" s="268" t="s">
        <v>218</v>
      </c>
      <c r="Y534" s="269" t="s">
        <v>219</v>
      </c>
      <c r="Z534" s="270" t="s">
        <v>218</v>
      </c>
      <c r="AA534" s="268" t="s">
        <v>218</v>
      </c>
      <c r="AB534" s="268" t="s">
        <v>218</v>
      </c>
      <c r="AC534" s="269" t="s">
        <v>218</v>
      </c>
      <c r="AD534" s="269" t="s">
        <v>218</v>
      </c>
      <c r="AE534" s="269" t="s">
        <v>219</v>
      </c>
      <c r="AF534" s="268">
        <v>0</v>
      </c>
      <c r="AG534" s="239">
        <v>1</v>
      </c>
      <c r="AH534" s="239"/>
      <c r="AI534" s="239">
        <v>0</v>
      </c>
      <c r="AJ534" s="239">
        <v>0</v>
      </c>
    </row>
    <row r="535" spans="1:36" s="81" customFormat="1" ht="32.25" customHeight="1" x14ac:dyDescent="0.3">
      <c r="A535" s="5">
        <v>528</v>
      </c>
      <c r="B535" s="84" t="s">
        <v>196</v>
      </c>
      <c r="D535" s="240" t="s">
        <v>1386</v>
      </c>
      <c r="E535" s="239">
        <v>9</v>
      </c>
      <c r="F535" s="239"/>
      <c r="G535" s="239" t="s">
        <v>245</v>
      </c>
      <c r="H535" s="84" t="s">
        <v>1220</v>
      </c>
      <c r="I535" s="239" t="s">
        <v>886</v>
      </c>
      <c r="J535" s="118" t="s">
        <v>924</v>
      </c>
      <c r="K535" s="118"/>
      <c r="L535" s="118"/>
      <c r="M535" s="282">
        <v>1950</v>
      </c>
      <c r="N535" s="239" t="s">
        <v>893</v>
      </c>
      <c r="O535" s="282">
        <v>4</v>
      </c>
      <c r="P535" s="239">
        <v>0</v>
      </c>
      <c r="Q535" s="282">
        <v>2</v>
      </c>
      <c r="R535" s="239">
        <v>5</v>
      </c>
      <c r="S535" s="266">
        <f t="shared" si="12"/>
        <v>1991.5</v>
      </c>
      <c r="T535" s="267">
        <v>1991.5</v>
      </c>
      <c r="U535" s="267">
        <v>1701.6</v>
      </c>
      <c r="V535" s="267">
        <v>0</v>
      </c>
      <c r="W535" s="268" t="s">
        <v>218</v>
      </c>
      <c r="X535" s="268" t="s">
        <v>218</v>
      </c>
      <c r="Y535" s="269" t="s">
        <v>218</v>
      </c>
      <c r="Z535" s="270" t="s">
        <v>218</v>
      </c>
      <c r="AA535" s="268" t="s">
        <v>218</v>
      </c>
      <c r="AB535" s="268" t="s">
        <v>218</v>
      </c>
      <c r="AC535" s="269" t="s">
        <v>219</v>
      </c>
      <c r="AD535" s="269" t="s">
        <v>218</v>
      </c>
      <c r="AE535" s="269" t="s">
        <v>219</v>
      </c>
      <c r="AF535" s="268">
        <v>0</v>
      </c>
      <c r="AG535" s="239" t="s">
        <v>444</v>
      </c>
      <c r="AH535" s="239"/>
      <c r="AI535" s="239">
        <v>0</v>
      </c>
      <c r="AJ535" s="239">
        <v>0</v>
      </c>
    </row>
    <row r="536" spans="1:36" s="81" customFormat="1" ht="32.25" customHeight="1" x14ac:dyDescent="0.3">
      <c r="A536" s="80">
        <v>529</v>
      </c>
      <c r="B536" s="84" t="s">
        <v>196</v>
      </c>
      <c r="D536" s="240" t="s">
        <v>1387</v>
      </c>
      <c r="E536" s="239">
        <v>3</v>
      </c>
      <c r="F536" s="239"/>
      <c r="G536" s="239" t="s">
        <v>245</v>
      </c>
      <c r="H536" s="84" t="s">
        <v>1221</v>
      </c>
      <c r="I536" s="239" t="s">
        <v>886</v>
      </c>
      <c r="J536" s="118" t="s">
        <v>924</v>
      </c>
      <c r="K536" s="118"/>
      <c r="L536" s="118"/>
      <c r="M536" s="239"/>
      <c r="N536" s="239" t="s">
        <v>893</v>
      </c>
      <c r="O536" s="239"/>
      <c r="P536" s="239">
        <v>0</v>
      </c>
      <c r="Q536" s="239"/>
      <c r="R536" s="239"/>
      <c r="S536" s="266">
        <f t="shared" ref="S536:S599" si="13">T536</f>
        <v>741.4</v>
      </c>
      <c r="T536" s="267">
        <v>741.4</v>
      </c>
      <c r="U536" s="267">
        <v>703.6</v>
      </c>
      <c r="V536" s="267">
        <v>0</v>
      </c>
      <c r="W536" s="268" t="s">
        <v>218</v>
      </c>
      <c r="X536" s="268" t="s">
        <v>218</v>
      </c>
      <c r="Y536" s="269" t="s">
        <v>218</v>
      </c>
      <c r="Z536" s="270" t="s">
        <v>218</v>
      </c>
      <c r="AA536" s="268" t="s">
        <v>218</v>
      </c>
      <c r="AB536" s="268" t="s">
        <v>218</v>
      </c>
      <c r="AC536" s="269" t="s">
        <v>219</v>
      </c>
      <c r="AD536" s="269" t="s">
        <v>218</v>
      </c>
      <c r="AE536" s="269" t="s">
        <v>219</v>
      </c>
      <c r="AF536" s="268">
        <v>0</v>
      </c>
      <c r="AG536" s="239" t="s">
        <v>444</v>
      </c>
      <c r="AH536" s="239"/>
      <c r="AI536" s="239">
        <v>0</v>
      </c>
      <c r="AJ536" s="239">
        <v>0</v>
      </c>
    </row>
    <row r="537" spans="1:36" s="81" customFormat="1" ht="32.25" customHeight="1" x14ac:dyDescent="0.3">
      <c r="A537" s="5">
        <v>530</v>
      </c>
      <c r="B537" s="84" t="s">
        <v>196</v>
      </c>
      <c r="D537" s="240" t="s">
        <v>1388</v>
      </c>
      <c r="E537" s="239">
        <v>42</v>
      </c>
      <c r="F537" s="239"/>
      <c r="G537" s="239" t="s">
        <v>245</v>
      </c>
      <c r="H537" s="84" t="s">
        <v>1222</v>
      </c>
      <c r="I537" s="239" t="s">
        <v>886</v>
      </c>
      <c r="J537" s="118" t="s">
        <v>1358</v>
      </c>
      <c r="K537" s="118"/>
      <c r="L537" s="118"/>
      <c r="M537" s="282">
        <v>1917</v>
      </c>
      <c r="N537" s="239" t="s">
        <v>893</v>
      </c>
      <c r="O537" s="282">
        <v>5</v>
      </c>
      <c r="P537" s="239">
        <v>0</v>
      </c>
      <c r="Q537" s="282">
        <v>4</v>
      </c>
      <c r="R537" s="239">
        <v>24</v>
      </c>
      <c r="S537" s="266">
        <f t="shared" si="13"/>
        <v>4413</v>
      </c>
      <c r="T537" s="267">
        <v>4413</v>
      </c>
      <c r="U537" s="267">
        <v>3674.8</v>
      </c>
      <c r="V537" s="267">
        <v>423.50000000000006</v>
      </c>
      <c r="W537" s="268" t="s">
        <v>218</v>
      </c>
      <c r="X537" s="268" t="s">
        <v>218</v>
      </c>
      <c r="Y537" s="269" t="s">
        <v>219</v>
      </c>
      <c r="Z537" s="270" t="s">
        <v>218</v>
      </c>
      <c r="AA537" s="268" t="s">
        <v>218</v>
      </c>
      <c r="AB537" s="268" t="s">
        <v>218</v>
      </c>
      <c r="AC537" s="269" t="s">
        <v>218</v>
      </c>
      <c r="AD537" s="269" t="s">
        <v>218</v>
      </c>
      <c r="AE537" s="269" t="s">
        <v>219</v>
      </c>
      <c r="AF537" s="268">
        <v>0</v>
      </c>
      <c r="AG537" s="239">
        <v>2</v>
      </c>
      <c r="AH537" s="239"/>
      <c r="AI537" s="239">
        <v>0</v>
      </c>
      <c r="AJ537" s="239">
        <v>1</v>
      </c>
    </row>
    <row r="538" spans="1:36" s="275" customFormat="1" ht="32.25" customHeight="1" x14ac:dyDescent="0.3">
      <c r="A538" s="80">
        <v>531</v>
      </c>
      <c r="B538" s="84" t="s">
        <v>196</v>
      </c>
      <c r="D538" s="240" t="s">
        <v>1388</v>
      </c>
      <c r="E538" s="277">
        <v>46</v>
      </c>
      <c r="F538" s="277">
        <v>2</v>
      </c>
      <c r="G538" s="239" t="s">
        <v>245</v>
      </c>
      <c r="H538" s="84" t="s">
        <v>1223</v>
      </c>
      <c r="I538" s="239" t="s">
        <v>886</v>
      </c>
      <c r="J538" s="277" t="s">
        <v>318</v>
      </c>
      <c r="K538" s="279" t="s">
        <v>922</v>
      </c>
      <c r="L538" s="277"/>
      <c r="M538" s="282">
        <v>1975</v>
      </c>
      <c r="N538" s="239" t="s">
        <v>893</v>
      </c>
      <c r="O538" s="282">
        <v>8</v>
      </c>
      <c r="P538" s="239">
        <v>0</v>
      </c>
      <c r="Q538" s="282">
        <v>5</v>
      </c>
      <c r="R538" s="277">
        <v>96</v>
      </c>
      <c r="S538" s="266">
        <f t="shared" si="13"/>
        <v>8696.5</v>
      </c>
      <c r="T538" s="267">
        <v>8696.5</v>
      </c>
      <c r="U538" s="267">
        <v>7425.3</v>
      </c>
      <c r="V538" s="267">
        <v>561.5</v>
      </c>
      <c r="W538" s="269" t="s">
        <v>218</v>
      </c>
      <c r="X538" s="269" t="s">
        <v>218</v>
      </c>
      <c r="Y538" s="269" t="s">
        <v>218</v>
      </c>
      <c r="Z538" s="270" t="s">
        <v>218</v>
      </c>
      <c r="AA538" s="269" t="s">
        <v>218</v>
      </c>
      <c r="AB538" s="269" t="s">
        <v>219</v>
      </c>
      <c r="AC538" s="269" t="s">
        <v>219</v>
      </c>
      <c r="AD538" s="269" t="s">
        <v>219</v>
      </c>
      <c r="AE538" s="269" t="s">
        <v>218</v>
      </c>
      <c r="AF538" s="268">
        <v>2</v>
      </c>
      <c r="AG538" s="277">
        <v>2</v>
      </c>
      <c r="AH538" s="277"/>
      <c r="AI538" s="277">
        <v>1</v>
      </c>
      <c r="AJ538" s="277">
        <v>1</v>
      </c>
    </row>
    <row r="539" spans="1:36" s="81" customFormat="1" ht="32.25" customHeight="1" x14ac:dyDescent="0.3">
      <c r="A539" s="5">
        <v>532</v>
      </c>
      <c r="B539" s="84" t="s">
        <v>196</v>
      </c>
      <c r="D539" s="240" t="s">
        <v>1388</v>
      </c>
      <c r="E539" s="239">
        <v>46</v>
      </c>
      <c r="F539" s="239"/>
      <c r="G539" s="239" t="s">
        <v>245</v>
      </c>
      <c r="H539" s="84" t="s">
        <v>1224</v>
      </c>
      <c r="I539" s="239" t="s">
        <v>886</v>
      </c>
      <c r="J539" s="239" t="s">
        <v>318</v>
      </c>
      <c r="K539" s="118" t="s">
        <v>922</v>
      </c>
      <c r="L539" s="239"/>
      <c r="M539" s="282">
        <v>1987</v>
      </c>
      <c r="N539" s="239" t="s">
        <v>893</v>
      </c>
      <c r="O539" s="282">
        <v>9</v>
      </c>
      <c r="P539" s="239">
        <v>0</v>
      </c>
      <c r="Q539" s="282">
        <v>2</v>
      </c>
      <c r="R539" s="239">
        <v>10</v>
      </c>
      <c r="S539" s="266">
        <f t="shared" si="13"/>
        <v>5484.4</v>
      </c>
      <c r="T539" s="267">
        <v>5484.4</v>
      </c>
      <c r="U539" s="267">
        <v>4650.5</v>
      </c>
      <c r="V539" s="267">
        <v>676.8</v>
      </c>
      <c r="W539" s="268" t="s">
        <v>218</v>
      </c>
      <c r="X539" s="268" t="s">
        <v>218</v>
      </c>
      <c r="Y539" s="269" t="s">
        <v>218</v>
      </c>
      <c r="Z539" s="270" t="s">
        <v>218</v>
      </c>
      <c r="AA539" s="268" t="s">
        <v>218</v>
      </c>
      <c r="AB539" s="268" t="s">
        <v>218</v>
      </c>
      <c r="AC539" s="269" t="s">
        <v>219</v>
      </c>
      <c r="AD539" s="268" t="s">
        <v>218</v>
      </c>
      <c r="AE539" s="269" t="s">
        <v>219</v>
      </c>
      <c r="AF539" s="268">
        <v>2</v>
      </c>
      <c r="AG539" s="239">
        <v>1</v>
      </c>
      <c r="AH539" s="239"/>
      <c r="AI539" s="239">
        <v>0</v>
      </c>
      <c r="AJ539" s="239">
        <v>0</v>
      </c>
    </row>
    <row r="540" spans="1:36" s="81" customFormat="1" ht="32.25" customHeight="1" x14ac:dyDescent="0.3">
      <c r="A540" s="80">
        <v>533</v>
      </c>
      <c r="B540" s="84" t="s">
        <v>196</v>
      </c>
      <c r="D540" s="240" t="s">
        <v>1388</v>
      </c>
      <c r="E540" s="239">
        <v>56</v>
      </c>
      <c r="F540" s="239"/>
      <c r="G540" s="239" t="s">
        <v>245</v>
      </c>
      <c r="H540" s="84" t="s">
        <v>1225</v>
      </c>
      <c r="I540" s="239" t="s">
        <v>886</v>
      </c>
      <c r="J540" s="118" t="s">
        <v>1358</v>
      </c>
      <c r="K540" s="118" t="s">
        <v>922</v>
      </c>
      <c r="L540" s="239"/>
      <c r="M540" s="282">
        <v>1870</v>
      </c>
      <c r="N540" s="239" t="s">
        <v>893</v>
      </c>
      <c r="O540" s="282">
        <v>4</v>
      </c>
      <c r="P540" s="239">
        <v>0</v>
      </c>
      <c r="Q540" s="282">
        <v>4</v>
      </c>
      <c r="R540" s="239">
        <v>33</v>
      </c>
      <c r="S540" s="266">
        <f t="shared" si="13"/>
        <v>2452.9</v>
      </c>
      <c r="T540" s="267">
        <v>2452.9</v>
      </c>
      <c r="U540" s="267">
        <v>1858.7</v>
      </c>
      <c r="V540" s="267">
        <v>423.20000000000005</v>
      </c>
      <c r="W540" s="268" t="s">
        <v>218</v>
      </c>
      <c r="X540" s="268" t="s">
        <v>218</v>
      </c>
      <c r="Y540" s="269" t="s">
        <v>219</v>
      </c>
      <c r="Z540" s="270" t="s">
        <v>218</v>
      </c>
      <c r="AA540" s="268" t="s">
        <v>218</v>
      </c>
      <c r="AB540" s="268" t="s">
        <v>218</v>
      </c>
      <c r="AC540" s="269" t="s">
        <v>218</v>
      </c>
      <c r="AD540" s="268" t="s">
        <v>218</v>
      </c>
      <c r="AE540" s="269" t="s">
        <v>219</v>
      </c>
      <c r="AF540" s="268">
        <v>0</v>
      </c>
      <c r="AG540" s="239">
        <v>1</v>
      </c>
      <c r="AH540" s="239"/>
      <c r="AI540" s="239">
        <v>0</v>
      </c>
      <c r="AJ540" s="239">
        <v>0</v>
      </c>
    </row>
    <row r="541" spans="1:36" s="81" customFormat="1" ht="32.25" customHeight="1" x14ac:dyDescent="0.3">
      <c r="A541" s="5">
        <v>534</v>
      </c>
      <c r="B541" s="84" t="s">
        <v>196</v>
      </c>
      <c r="D541" s="240" t="s">
        <v>1388</v>
      </c>
      <c r="E541" s="239">
        <v>66</v>
      </c>
      <c r="F541" s="239"/>
      <c r="G541" s="239" t="s">
        <v>245</v>
      </c>
      <c r="H541" s="84" t="s">
        <v>1226</v>
      </c>
      <c r="I541" s="239" t="s">
        <v>886</v>
      </c>
      <c r="J541" s="118" t="s">
        <v>903</v>
      </c>
      <c r="K541" s="118" t="s">
        <v>922</v>
      </c>
      <c r="L541" s="239"/>
      <c r="M541" s="282">
        <v>1884</v>
      </c>
      <c r="N541" s="239" t="s">
        <v>893</v>
      </c>
      <c r="O541" s="282">
        <v>5</v>
      </c>
      <c r="P541" s="239">
        <v>0</v>
      </c>
      <c r="Q541" s="282">
        <v>9</v>
      </c>
      <c r="R541" s="239">
        <v>48</v>
      </c>
      <c r="S541" s="266">
        <f t="shared" si="13"/>
        <v>7572.3</v>
      </c>
      <c r="T541" s="267">
        <v>7572.3</v>
      </c>
      <c r="U541" s="267">
        <v>6058</v>
      </c>
      <c r="V541" s="267">
        <v>1094</v>
      </c>
      <c r="W541" s="268" t="s">
        <v>218</v>
      </c>
      <c r="X541" s="268" t="s">
        <v>218</v>
      </c>
      <c r="Y541" s="269" t="s">
        <v>218</v>
      </c>
      <c r="Z541" s="270" t="s">
        <v>218</v>
      </c>
      <c r="AA541" s="268" t="s">
        <v>218</v>
      </c>
      <c r="AB541" s="268" t="s">
        <v>218</v>
      </c>
      <c r="AC541" s="269" t="s">
        <v>219</v>
      </c>
      <c r="AD541" s="268" t="s">
        <v>218</v>
      </c>
      <c r="AE541" s="269" t="s">
        <v>219</v>
      </c>
      <c r="AF541" s="268">
        <v>0</v>
      </c>
      <c r="AG541" s="239">
        <v>1</v>
      </c>
      <c r="AH541" s="239"/>
      <c r="AI541" s="239">
        <v>1</v>
      </c>
      <c r="AJ541" s="239">
        <v>1</v>
      </c>
    </row>
    <row r="542" spans="1:36" s="81" customFormat="1" ht="32.25" customHeight="1" x14ac:dyDescent="0.3">
      <c r="A542" s="80">
        <v>535</v>
      </c>
      <c r="B542" s="84" t="s">
        <v>196</v>
      </c>
      <c r="D542" s="240" t="s">
        <v>1389</v>
      </c>
      <c r="E542" s="239">
        <v>10</v>
      </c>
      <c r="F542" s="239">
        <v>1</v>
      </c>
      <c r="G542" s="239" t="s">
        <v>245</v>
      </c>
      <c r="H542" s="84" t="s">
        <v>1227</v>
      </c>
      <c r="I542" s="239" t="s">
        <v>886</v>
      </c>
      <c r="J542" s="239"/>
      <c r="K542" s="118" t="s">
        <v>311</v>
      </c>
      <c r="L542" s="239"/>
      <c r="M542" s="282">
        <v>1964</v>
      </c>
      <c r="N542" s="239" t="s">
        <v>216</v>
      </c>
      <c r="O542" s="282">
        <v>5</v>
      </c>
      <c r="P542" s="239">
        <v>0</v>
      </c>
      <c r="Q542" s="282">
        <v>9</v>
      </c>
      <c r="R542" s="239">
        <v>134</v>
      </c>
      <c r="S542" s="266">
        <f t="shared" si="13"/>
        <v>6099.9</v>
      </c>
      <c r="T542" s="267">
        <v>6099.9</v>
      </c>
      <c r="U542" s="267">
        <v>6035.9</v>
      </c>
      <c r="V542" s="267">
        <v>0</v>
      </c>
      <c r="W542" s="268" t="s">
        <v>218</v>
      </c>
      <c r="X542" s="268" t="s">
        <v>218</v>
      </c>
      <c r="Y542" s="269" t="s">
        <v>218</v>
      </c>
      <c r="Z542" s="270" t="s">
        <v>218</v>
      </c>
      <c r="AA542" s="268" t="s">
        <v>218</v>
      </c>
      <c r="AB542" s="268" t="s">
        <v>218</v>
      </c>
      <c r="AC542" s="269" t="s">
        <v>219</v>
      </c>
      <c r="AD542" s="268" t="s">
        <v>218</v>
      </c>
      <c r="AE542" s="269" t="s">
        <v>219</v>
      </c>
      <c r="AF542" s="268">
        <v>0</v>
      </c>
      <c r="AG542" s="239">
        <v>1</v>
      </c>
      <c r="AH542" s="239"/>
      <c r="AI542" s="239">
        <v>1</v>
      </c>
      <c r="AJ542" s="239">
        <v>1</v>
      </c>
    </row>
    <row r="543" spans="1:36" s="81" customFormat="1" ht="32.25" customHeight="1" x14ac:dyDescent="0.3">
      <c r="A543" s="5">
        <v>536</v>
      </c>
      <c r="B543" s="84" t="s">
        <v>196</v>
      </c>
      <c r="D543" s="240" t="s">
        <v>1389</v>
      </c>
      <c r="E543" s="239">
        <v>10</v>
      </c>
      <c r="F543" s="239">
        <v>2</v>
      </c>
      <c r="G543" s="239" t="s">
        <v>245</v>
      </c>
      <c r="H543" s="84" t="s">
        <v>1228</v>
      </c>
      <c r="I543" s="239" t="s">
        <v>886</v>
      </c>
      <c r="J543" s="239"/>
      <c r="K543" s="118" t="s">
        <v>311</v>
      </c>
      <c r="L543" s="239"/>
      <c r="M543" s="282">
        <v>1964</v>
      </c>
      <c r="N543" s="239" t="s">
        <v>216</v>
      </c>
      <c r="O543" s="282">
        <v>5</v>
      </c>
      <c r="P543" s="239">
        <v>0</v>
      </c>
      <c r="Q543" s="282">
        <v>9</v>
      </c>
      <c r="R543" s="239">
        <v>134</v>
      </c>
      <c r="S543" s="266">
        <f t="shared" si="13"/>
        <v>6080.22</v>
      </c>
      <c r="T543" s="267">
        <v>6080.22</v>
      </c>
      <c r="U543" s="267">
        <v>6026.77</v>
      </c>
      <c r="V543" s="267">
        <v>0</v>
      </c>
      <c r="W543" s="268" t="s">
        <v>218</v>
      </c>
      <c r="X543" s="268" t="s">
        <v>218</v>
      </c>
      <c r="Y543" s="269" t="s">
        <v>218</v>
      </c>
      <c r="Z543" s="270" t="s">
        <v>218</v>
      </c>
      <c r="AA543" s="268" t="s">
        <v>218</v>
      </c>
      <c r="AB543" s="268" t="s">
        <v>218</v>
      </c>
      <c r="AC543" s="269" t="s">
        <v>219</v>
      </c>
      <c r="AD543" s="268" t="s">
        <v>218</v>
      </c>
      <c r="AE543" s="269" t="s">
        <v>219</v>
      </c>
      <c r="AF543" s="268">
        <v>0</v>
      </c>
      <c r="AG543" s="239">
        <v>1</v>
      </c>
      <c r="AH543" s="239"/>
      <c r="AI543" s="239">
        <v>1</v>
      </c>
      <c r="AJ543" s="239">
        <v>1</v>
      </c>
    </row>
    <row r="544" spans="1:36" s="81" customFormat="1" ht="32.25" customHeight="1" x14ac:dyDescent="0.3">
      <c r="A544" s="80">
        <v>537</v>
      </c>
      <c r="B544" s="84" t="s">
        <v>196</v>
      </c>
      <c r="D544" s="240" t="s">
        <v>1389</v>
      </c>
      <c r="E544" s="239">
        <v>10</v>
      </c>
      <c r="F544" s="239">
        <v>3</v>
      </c>
      <c r="G544" s="239" t="s">
        <v>245</v>
      </c>
      <c r="H544" s="84" t="s">
        <v>1229</v>
      </c>
      <c r="I544" s="239" t="s">
        <v>247</v>
      </c>
      <c r="J544" s="239"/>
      <c r="K544" s="118" t="s">
        <v>315</v>
      </c>
      <c r="L544" s="239"/>
      <c r="M544" s="282">
        <v>1964</v>
      </c>
      <c r="N544" s="239" t="s">
        <v>216</v>
      </c>
      <c r="O544" s="282">
        <v>5</v>
      </c>
      <c r="P544" s="239">
        <v>0</v>
      </c>
      <c r="Q544" s="282">
        <v>6</v>
      </c>
      <c r="R544" s="239">
        <v>90</v>
      </c>
      <c r="S544" s="266">
        <f t="shared" si="13"/>
        <v>4079.1</v>
      </c>
      <c r="T544" s="267">
        <v>4079.1</v>
      </c>
      <c r="U544" s="267">
        <v>4022.8</v>
      </c>
      <c r="V544" s="267">
        <v>0</v>
      </c>
      <c r="W544" s="268" t="s">
        <v>218</v>
      </c>
      <c r="X544" s="268" t="s">
        <v>218</v>
      </c>
      <c r="Y544" s="269" t="s">
        <v>218</v>
      </c>
      <c r="Z544" s="270" t="s">
        <v>218</v>
      </c>
      <c r="AA544" s="268" t="s">
        <v>218</v>
      </c>
      <c r="AB544" s="268" t="s">
        <v>218</v>
      </c>
      <c r="AC544" s="269" t="s">
        <v>219</v>
      </c>
      <c r="AD544" s="268" t="s">
        <v>218</v>
      </c>
      <c r="AE544" s="269" t="s">
        <v>219</v>
      </c>
      <c r="AF544" s="268">
        <v>0</v>
      </c>
      <c r="AG544" s="239">
        <v>1</v>
      </c>
      <c r="AH544" s="239"/>
      <c r="AI544" s="239">
        <v>0</v>
      </c>
      <c r="AJ544" s="239">
        <v>0</v>
      </c>
    </row>
    <row r="545" spans="1:36" s="81" customFormat="1" ht="32.25" customHeight="1" x14ac:dyDescent="0.3">
      <c r="A545" s="5">
        <v>538</v>
      </c>
      <c r="B545" s="84" t="s">
        <v>196</v>
      </c>
      <c r="D545" s="240" t="s">
        <v>1389</v>
      </c>
      <c r="E545" s="239">
        <v>10</v>
      </c>
      <c r="F545" s="239">
        <v>4</v>
      </c>
      <c r="G545" s="239" t="s">
        <v>245</v>
      </c>
      <c r="H545" s="84" t="s">
        <v>1230</v>
      </c>
      <c r="I545" s="239" t="s">
        <v>247</v>
      </c>
      <c r="J545" s="239"/>
      <c r="K545" s="118" t="s">
        <v>315</v>
      </c>
      <c r="L545" s="239"/>
      <c r="M545" s="282">
        <v>1964</v>
      </c>
      <c r="N545" s="239" t="s">
        <v>216</v>
      </c>
      <c r="O545" s="282">
        <v>5</v>
      </c>
      <c r="P545" s="239">
        <v>0</v>
      </c>
      <c r="Q545" s="282">
        <v>6</v>
      </c>
      <c r="R545" s="239">
        <v>90</v>
      </c>
      <c r="S545" s="266">
        <f t="shared" si="13"/>
        <v>4064.7</v>
      </c>
      <c r="T545" s="267">
        <v>4064.7</v>
      </c>
      <c r="U545" s="267">
        <v>4008.2</v>
      </c>
      <c r="V545" s="267">
        <v>0</v>
      </c>
      <c r="W545" s="268" t="s">
        <v>218</v>
      </c>
      <c r="X545" s="268" t="s">
        <v>218</v>
      </c>
      <c r="Y545" s="269" t="s">
        <v>218</v>
      </c>
      <c r="Z545" s="270" t="s">
        <v>218</v>
      </c>
      <c r="AA545" s="268" t="s">
        <v>218</v>
      </c>
      <c r="AB545" s="268" t="s">
        <v>218</v>
      </c>
      <c r="AC545" s="269" t="s">
        <v>219</v>
      </c>
      <c r="AD545" s="268" t="s">
        <v>218</v>
      </c>
      <c r="AE545" s="269" t="s">
        <v>219</v>
      </c>
      <c r="AF545" s="268">
        <v>0</v>
      </c>
      <c r="AG545" s="239">
        <v>1</v>
      </c>
      <c r="AH545" s="239"/>
      <c r="AI545" s="239">
        <v>0</v>
      </c>
      <c r="AJ545" s="239">
        <v>0</v>
      </c>
    </row>
    <row r="546" spans="1:36" s="81" customFormat="1" ht="32.25" customHeight="1" x14ac:dyDescent="0.3">
      <c r="A546" s="80">
        <v>539</v>
      </c>
      <c r="B546" s="84" t="s">
        <v>196</v>
      </c>
      <c r="D546" s="240" t="s">
        <v>1389</v>
      </c>
      <c r="E546" s="239">
        <v>10</v>
      </c>
      <c r="F546" s="239">
        <v>5</v>
      </c>
      <c r="G546" s="239" t="s">
        <v>245</v>
      </c>
      <c r="H546" s="84" t="s">
        <v>1231</v>
      </c>
      <c r="I546" s="239" t="s">
        <v>886</v>
      </c>
      <c r="J546" s="239" t="s">
        <v>887</v>
      </c>
      <c r="K546" s="118" t="s">
        <v>315</v>
      </c>
      <c r="L546" s="239"/>
      <c r="M546" s="282">
        <v>1964</v>
      </c>
      <c r="N546" s="239" t="s">
        <v>216</v>
      </c>
      <c r="O546" s="282">
        <v>5</v>
      </c>
      <c r="P546" s="239">
        <v>0</v>
      </c>
      <c r="Q546" s="282">
        <v>6</v>
      </c>
      <c r="R546" s="239">
        <v>90</v>
      </c>
      <c r="S546" s="266">
        <f t="shared" si="13"/>
        <v>4089.4</v>
      </c>
      <c r="T546" s="267">
        <v>4089.4</v>
      </c>
      <c r="U546" s="267">
        <v>4036.7</v>
      </c>
      <c r="V546" s="267">
        <v>0</v>
      </c>
      <c r="W546" s="268" t="s">
        <v>218</v>
      </c>
      <c r="X546" s="268" t="s">
        <v>218</v>
      </c>
      <c r="Y546" s="269" t="s">
        <v>218</v>
      </c>
      <c r="Z546" s="270" t="s">
        <v>218</v>
      </c>
      <c r="AA546" s="268" t="s">
        <v>218</v>
      </c>
      <c r="AB546" s="268" t="s">
        <v>218</v>
      </c>
      <c r="AC546" s="269" t="s">
        <v>219</v>
      </c>
      <c r="AD546" s="268" t="s">
        <v>218</v>
      </c>
      <c r="AE546" s="269" t="s">
        <v>219</v>
      </c>
      <c r="AF546" s="268">
        <v>0</v>
      </c>
      <c r="AG546" s="239">
        <v>1</v>
      </c>
      <c r="AH546" s="239"/>
      <c r="AI546" s="239">
        <v>1</v>
      </c>
      <c r="AJ546" s="239">
        <v>1</v>
      </c>
    </row>
    <row r="547" spans="1:36" s="81" customFormat="1" ht="32.25" customHeight="1" x14ac:dyDescent="0.3">
      <c r="A547" s="5">
        <v>540</v>
      </c>
      <c r="B547" s="84" t="s">
        <v>196</v>
      </c>
      <c r="D547" s="240" t="s">
        <v>1389</v>
      </c>
      <c r="E547" s="239">
        <v>12</v>
      </c>
      <c r="F547" s="239">
        <v>1</v>
      </c>
      <c r="G547" s="239" t="s">
        <v>245</v>
      </c>
      <c r="H547" s="84" t="s">
        <v>1232</v>
      </c>
      <c r="I547" s="239" t="s">
        <v>886</v>
      </c>
      <c r="J547" s="239" t="s">
        <v>318</v>
      </c>
      <c r="K547" s="118" t="s">
        <v>938</v>
      </c>
      <c r="L547" s="239"/>
      <c r="M547" s="282">
        <v>1966</v>
      </c>
      <c r="N547" s="239" t="s">
        <v>216</v>
      </c>
      <c r="O547" s="282">
        <v>9</v>
      </c>
      <c r="P547" s="239">
        <v>0</v>
      </c>
      <c r="Q547" s="282">
        <v>6</v>
      </c>
      <c r="R547" s="239">
        <v>304</v>
      </c>
      <c r="S547" s="266">
        <f t="shared" si="13"/>
        <v>17003.400000000001</v>
      </c>
      <c r="T547" s="267">
        <v>17003.400000000001</v>
      </c>
      <c r="U547" s="267">
        <v>13844.4</v>
      </c>
      <c r="V547" s="267">
        <v>3009.1</v>
      </c>
      <c r="W547" s="268" t="s">
        <v>218</v>
      </c>
      <c r="X547" s="268" t="s">
        <v>218</v>
      </c>
      <c r="Y547" s="269" t="s">
        <v>218</v>
      </c>
      <c r="Z547" s="270" t="s">
        <v>218</v>
      </c>
      <c r="AA547" s="268" t="s">
        <v>218</v>
      </c>
      <c r="AB547" s="268" t="s">
        <v>218</v>
      </c>
      <c r="AC547" s="269" t="s">
        <v>219</v>
      </c>
      <c r="AD547" s="268" t="s">
        <v>218</v>
      </c>
      <c r="AE547" s="269" t="s">
        <v>219</v>
      </c>
      <c r="AF547" s="268">
        <v>6</v>
      </c>
      <c r="AG547" s="239">
        <v>3</v>
      </c>
      <c r="AH547" s="239"/>
      <c r="AI547" s="239">
        <v>0</v>
      </c>
      <c r="AJ547" s="239">
        <v>1</v>
      </c>
    </row>
    <row r="548" spans="1:36" s="81" customFormat="1" ht="32.25" customHeight="1" x14ac:dyDescent="0.3">
      <c r="A548" s="80">
        <v>541</v>
      </c>
      <c r="B548" s="84" t="s">
        <v>196</v>
      </c>
      <c r="D548" s="240" t="s">
        <v>1389</v>
      </c>
      <c r="E548" s="239">
        <v>2</v>
      </c>
      <c r="F548" s="239">
        <v>1</v>
      </c>
      <c r="G548" s="239" t="s">
        <v>245</v>
      </c>
      <c r="H548" s="84" t="s">
        <v>1233</v>
      </c>
      <c r="I548" s="239" t="s">
        <v>886</v>
      </c>
      <c r="J548" s="239" t="s">
        <v>318</v>
      </c>
      <c r="K548" s="118" t="s">
        <v>938</v>
      </c>
      <c r="L548" s="239"/>
      <c r="M548" s="282">
        <v>1968</v>
      </c>
      <c r="N548" s="239" t="s">
        <v>318</v>
      </c>
      <c r="O548" s="282">
        <v>9</v>
      </c>
      <c r="P548" s="239">
        <v>0</v>
      </c>
      <c r="Q548" s="282">
        <v>6</v>
      </c>
      <c r="R548" s="239">
        <v>304</v>
      </c>
      <c r="S548" s="266">
        <f t="shared" si="13"/>
        <v>16940.900000000001</v>
      </c>
      <c r="T548" s="267">
        <v>16940.900000000001</v>
      </c>
      <c r="U548" s="267">
        <v>13847.9</v>
      </c>
      <c r="V548" s="267">
        <v>2924.2</v>
      </c>
      <c r="W548" s="268" t="s">
        <v>218</v>
      </c>
      <c r="X548" s="268" t="s">
        <v>218</v>
      </c>
      <c r="Y548" s="269" t="s">
        <v>218</v>
      </c>
      <c r="Z548" s="270" t="s">
        <v>218</v>
      </c>
      <c r="AA548" s="268" t="s">
        <v>218</v>
      </c>
      <c r="AB548" s="268" t="s">
        <v>218</v>
      </c>
      <c r="AC548" s="269" t="s">
        <v>219</v>
      </c>
      <c r="AD548" s="268" t="s">
        <v>218</v>
      </c>
      <c r="AE548" s="269" t="s">
        <v>219</v>
      </c>
      <c r="AF548" s="268">
        <v>6</v>
      </c>
      <c r="AG548" s="239">
        <v>4</v>
      </c>
      <c r="AH548" s="239"/>
      <c r="AI548" s="239">
        <v>0</v>
      </c>
      <c r="AJ548" s="239">
        <v>1</v>
      </c>
    </row>
    <row r="549" spans="1:36" s="81" customFormat="1" ht="32.25" customHeight="1" x14ac:dyDescent="0.3">
      <c r="A549" s="5">
        <v>542</v>
      </c>
      <c r="B549" s="84" t="s">
        <v>196</v>
      </c>
      <c r="D549" s="240" t="s">
        <v>1389</v>
      </c>
      <c r="E549" s="239">
        <v>2</v>
      </c>
      <c r="F549" s="239">
        <v>2</v>
      </c>
      <c r="G549" s="239" t="s">
        <v>245</v>
      </c>
      <c r="H549" s="84" t="s">
        <v>1234</v>
      </c>
      <c r="I549" s="239" t="s">
        <v>886</v>
      </c>
      <c r="J549" s="239" t="s">
        <v>318</v>
      </c>
      <c r="K549" s="118" t="s">
        <v>939</v>
      </c>
      <c r="L549" s="239"/>
      <c r="M549" s="282">
        <v>1965</v>
      </c>
      <c r="N549" s="239" t="s">
        <v>318</v>
      </c>
      <c r="O549" s="282">
        <v>9</v>
      </c>
      <c r="P549" s="239">
        <v>0</v>
      </c>
      <c r="Q549" s="282">
        <v>4</v>
      </c>
      <c r="R549" s="239">
        <v>231</v>
      </c>
      <c r="S549" s="266">
        <f t="shared" si="13"/>
        <v>11204.6</v>
      </c>
      <c r="T549" s="267">
        <v>11204.6</v>
      </c>
      <c r="U549" s="267">
        <v>11000.8</v>
      </c>
      <c r="V549" s="267">
        <v>17.600000000000001</v>
      </c>
      <c r="W549" s="268" t="s">
        <v>218</v>
      </c>
      <c r="X549" s="268" t="s">
        <v>218</v>
      </c>
      <c r="Y549" s="269" t="s">
        <v>218</v>
      </c>
      <c r="Z549" s="270" t="s">
        <v>218</v>
      </c>
      <c r="AA549" s="268" t="s">
        <v>218</v>
      </c>
      <c r="AB549" s="268" t="s">
        <v>218</v>
      </c>
      <c r="AC549" s="269" t="s">
        <v>219</v>
      </c>
      <c r="AD549" s="268" t="s">
        <v>218</v>
      </c>
      <c r="AE549" s="269" t="s">
        <v>219</v>
      </c>
      <c r="AF549" s="268">
        <v>4</v>
      </c>
      <c r="AG549" s="239">
        <v>1</v>
      </c>
      <c r="AH549" s="239"/>
      <c r="AI549" s="239">
        <v>1</v>
      </c>
      <c r="AJ549" s="239">
        <v>1</v>
      </c>
    </row>
    <row r="550" spans="1:36" s="81" customFormat="1" ht="32.25" customHeight="1" x14ac:dyDescent="0.3">
      <c r="A550" s="80">
        <v>543</v>
      </c>
      <c r="B550" s="84" t="s">
        <v>196</v>
      </c>
      <c r="D550" s="240" t="s">
        <v>1389</v>
      </c>
      <c r="E550" s="239">
        <v>2</v>
      </c>
      <c r="F550" s="239">
        <v>3</v>
      </c>
      <c r="G550" s="239" t="s">
        <v>245</v>
      </c>
      <c r="H550" s="84" t="s">
        <v>1235</v>
      </c>
      <c r="I550" s="239" t="s">
        <v>886</v>
      </c>
      <c r="J550" s="239" t="s">
        <v>318</v>
      </c>
      <c r="K550" s="118" t="s">
        <v>939</v>
      </c>
      <c r="L550" s="239"/>
      <c r="M550" s="282">
        <v>1965</v>
      </c>
      <c r="N550" s="239" t="s">
        <v>318</v>
      </c>
      <c r="O550" s="282">
        <v>9</v>
      </c>
      <c r="P550" s="239">
        <v>0</v>
      </c>
      <c r="Q550" s="282">
        <v>4</v>
      </c>
      <c r="R550" s="239">
        <v>231</v>
      </c>
      <c r="S550" s="266">
        <f t="shared" si="13"/>
        <v>11091</v>
      </c>
      <c r="T550" s="267">
        <v>11091</v>
      </c>
      <c r="U550" s="267">
        <v>10973.2</v>
      </c>
      <c r="V550" s="267">
        <v>0</v>
      </c>
      <c r="W550" s="268" t="s">
        <v>218</v>
      </c>
      <c r="X550" s="268" t="s">
        <v>218</v>
      </c>
      <c r="Y550" s="269" t="s">
        <v>218</v>
      </c>
      <c r="Z550" s="270" t="s">
        <v>218</v>
      </c>
      <c r="AA550" s="268" t="s">
        <v>218</v>
      </c>
      <c r="AB550" s="268" t="s">
        <v>218</v>
      </c>
      <c r="AC550" s="269" t="s">
        <v>219</v>
      </c>
      <c r="AD550" s="268" t="s">
        <v>218</v>
      </c>
      <c r="AE550" s="269" t="s">
        <v>219</v>
      </c>
      <c r="AF550" s="268">
        <v>4</v>
      </c>
      <c r="AG550" s="239">
        <v>1</v>
      </c>
      <c r="AH550" s="239"/>
      <c r="AI550" s="239">
        <v>1</v>
      </c>
      <c r="AJ550" s="239">
        <v>1</v>
      </c>
    </row>
    <row r="551" spans="1:36" s="81" customFormat="1" ht="32.25" customHeight="1" x14ac:dyDescent="0.3">
      <c r="A551" s="5">
        <v>544</v>
      </c>
      <c r="B551" s="84" t="s">
        <v>196</v>
      </c>
      <c r="D551" s="240" t="s">
        <v>1389</v>
      </c>
      <c r="E551" s="239">
        <v>2</v>
      </c>
      <c r="F551" s="239">
        <v>4</v>
      </c>
      <c r="G551" s="239" t="s">
        <v>245</v>
      </c>
      <c r="H551" s="84" t="s">
        <v>1236</v>
      </c>
      <c r="I551" s="239" t="s">
        <v>886</v>
      </c>
      <c r="J551" s="239" t="s">
        <v>318</v>
      </c>
      <c r="K551" s="118" t="s">
        <v>939</v>
      </c>
      <c r="L551" s="239"/>
      <c r="M551" s="282">
        <v>1965</v>
      </c>
      <c r="N551" s="239" t="s">
        <v>318</v>
      </c>
      <c r="O551" s="282">
        <v>9</v>
      </c>
      <c r="P551" s="239">
        <v>0</v>
      </c>
      <c r="Q551" s="282">
        <v>4</v>
      </c>
      <c r="R551" s="239">
        <v>231</v>
      </c>
      <c r="S551" s="266">
        <f t="shared" si="13"/>
        <v>11132.3</v>
      </c>
      <c r="T551" s="267">
        <v>11132.3</v>
      </c>
      <c r="U551" s="267">
        <v>10963.4</v>
      </c>
      <c r="V551" s="267">
        <v>0</v>
      </c>
      <c r="W551" s="268" t="s">
        <v>218</v>
      </c>
      <c r="X551" s="268" t="s">
        <v>218</v>
      </c>
      <c r="Y551" s="269" t="s">
        <v>218</v>
      </c>
      <c r="Z551" s="270" t="s">
        <v>218</v>
      </c>
      <c r="AA551" s="268" t="s">
        <v>218</v>
      </c>
      <c r="AB551" s="268" t="s">
        <v>218</v>
      </c>
      <c r="AC551" s="269" t="s">
        <v>219</v>
      </c>
      <c r="AD551" s="268" t="s">
        <v>218</v>
      </c>
      <c r="AE551" s="269" t="s">
        <v>219</v>
      </c>
      <c r="AF551" s="268">
        <v>4</v>
      </c>
      <c r="AG551" s="239">
        <v>2</v>
      </c>
      <c r="AH551" s="239"/>
      <c r="AI551" s="239">
        <v>1</v>
      </c>
      <c r="AJ551" s="239">
        <v>1</v>
      </c>
    </row>
    <row r="552" spans="1:36" s="81" customFormat="1" ht="32.25" customHeight="1" x14ac:dyDescent="0.3">
      <c r="A552" s="80">
        <v>545</v>
      </c>
      <c r="B552" s="84" t="s">
        <v>196</v>
      </c>
      <c r="D552" s="240" t="s">
        <v>1390</v>
      </c>
      <c r="E552" s="239">
        <v>12</v>
      </c>
      <c r="F552" s="239"/>
      <c r="G552" s="239" t="s">
        <v>245</v>
      </c>
      <c r="H552" s="84" t="s">
        <v>1237</v>
      </c>
      <c r="I552" s="239" t="s">
        <v>886</v>
      </c>
      <c r="J552" s="118" t="s">
        <v>904</v>
      </c>
      <c r="K552" s="118"/>
      <c r="L552" s="118"/>
      <c r="M552" s="282">
        <v>1902</v>
      </c>
      <c r="N552" s="239" t="s">
        <v>318</v>
      </c>
      <c r="O552" s="282">
        <v>4</v>
      </c>
      <c r="P552" s="239">
        <v>0</v>
      </c>
      <c r="Q552" s="282">
        <v>1</v>
      </c>
      <c r="R552" s="239">
        <v>16</v>
      </c>
      <c r="S552" s="266">
        <f t="shared" si="13"/>
        <v>1007.7</v>
      </c>
      <c r="T552" s="267">
        <v>1007.7</v>
      </c>
      <c r="U552" s="267">
        <v>827.7</v>
      </c>
      <c r="V552" s="267">
        <v>0</v>
      </c>
      <c r="W552" s="268" t="s">
        <v>218</v>
      </c>
      <c r="X552" s="268" t="s">
        <v>218</v>
      </c>
      <c r="Y552" s="269" t="s">
        <v>218</v>
      </c>
      <c r="Z552" s="270" t="s">
        <v>218</v>
      </c>
      <c r="AA552" s="268" t="s">
        <v>218</v>
      </c>
      <c r="AB552" s="268" t="s">
        <v>218</v>
      </c>
      <c r="AC552" s="269" t="s">
        <v>219</v>
      </c>
      <c r="AD552" s="268" t="s">
        <v>218</v>
      </c>
      <c r="AE552" s="269" t="s">
        <v>219</v>
      </c>
      <c r="AF552" s="268">
        <v>0</v>
      </c>
      <c r="AG552" s="239">
        <v>1</v>
      </c>
      <c r="AH552" s="239"/>
      <c r="AI552" s="239">
        <v>0</v>
      </c>
      <c r="AJ552" s="239">
        <v>1</v>
      </c>
    </row>
    <row r="553" spans="1:36" s="81" customFormat="1" ht="32.25" customHeight="1" x14ac:dyDescent="0.3">
      <c r="A553" s="5">
        <v>546</v>
      </c>
      <c r="B553" s="84" t="s">
        <v>196</v>
      </c>
      <c r="D553" s="240" t="s">
        <v>1390</v>
      </c>
      <c r="E553" s="239">
        <v>13</v>
      </c>
      <c r="F553" s="239"/>
      <c r="G553" s="239" t="s">
        <v>245</v>
      </c>
      <c r="H553" s="84" t="s">
        <v>1238</v>
      </c>
      <c r="I553" s="239" t="s">
        <v>886</v>
      </c>
      <c r="J553" s="118" t="s">
        <v>903</v>
      </c>
      <c r="K553" s="118"/>
      <c r="L553" s="118"/>
      <c r="M553" s="282">
        <v>1904</v>
      </c>
      <c r="N553" s="239" t="s">
        <v>318</v>
      </c>
      <c r="O553" s="282">
        <v>5</v>
      </c>
      <c r="P553" s="239">
        <v>0</v>
      </c>
      <c r="Q553" s="282">
        <v>1</v>
      </c>
      <c r="R553" s="239">
        <v>24</v>
      </c>
      <c r="S553" s="266">
        <f t="shared" si="13"/>
        <v>1460.7</v>
      </c>
      <c r="T553" s="267">
        <v>1460.7</v>
      </c>
      <c r="U553" s="267">
        <v>1315.8</v>
      </c>
      <c r="V553" s="267">
        <v>124.80000000000001</v>
      </c>
      <c r="W553" s="268" t="s">
        <v>218</v>
      </c>
      <c r="X553" s="268" t="s">
        <v>218</v>
      </c>
      <c r="Y553" s="269" t="s">
        <v>219</v>
      </c>
      <c r="Z553" s="270" t="s">
        <v>218</v>
      </c>
      <c r="AA553" s="268" t="s">
        <v>218</v>
      </c>
      <c r="AB553" s="268" t="s">
        <v>218</v>
      </c>
      <c r="AC553" s="269" t="s">
        <v>218</v>
      </c>
      <c r="AD553" s="268" t="s">
        <v>218</v>
      </c>
      <c r="AE553" s="269" t="s">
        <v>219</v>
      </c>
      <c r="AF553" s="268">
        <v>1</v>
      </c>
      <c r="AG553" s="239">
        <v>2</v>
      </c>
      <c r="AH553" s="239"/>
      <c r="AI553" s="239">
        <v>0</v>
      </c>
      <c r="AJ553" s="239">
        <v>0</v>
      </c>
    </row>
    <row r="554" spans="1:36" s="81" customFormat="1" ht="32.25" customHeight="1" x14ac:dyDescent="0.3">
      <c r="A554" s="80">
        <v>547</v>
      </c>
      <c r="B554" s="84" t="s">
        <v>196</v>
      </c>
      <c r="D554" s="240" t="s">
        <v>1390</v>
      </c>
      <c r="E554" s="239">
        <v>27</v>
      </c>
      <c r="F554" s="239"/>
      <c r="G554" s="239" t="s">
        <v>245</v>
      </c>
      <c r="H554" s="84" t="s">
        <v>1239</v>
      </c>
      <c r="I554" s="239" t="s">
        <v>886</v>
      </c>
      <c r="J554" s="118" t="s">
        <v>904</v>
      </c>
      <c r="K554" s="118"/>
      <c r="L554" s="118"/>
      <c r="M554" s="282">
        <v>1917</v>
      </c>
      <c r="N554" s="239" t="s">
        <v>318</v>
      </c>
      <c r="O554" s="282">
        <v>3</v>
      </c>
      <c r="P554" s="239">
        <v>0</v>
      </c>
      <c r="Q554" s="282">
        <v>1</v>
      </c>
      <c r="R554" s="239">
        <v>6</v>
      </c>
      <c r="S554" s="266">
        <f t="shared" si="13"/>
        <v>608.70000000000005</v>
      </c>
      <c r="T554" s="267">
        <v>608.70000000000005</v>
      </c>
      <c r="U554" s="267">
        <v>457.1</v>
      </c>
      <c r="V554" s="267">
        <v>0</v>
      </c>
      <c r="W554" s="268" t="s">
        <v>218</v>
      </c>
      <c r="X554" s="268" t="s">
        <v>218</v>
      </c>
      <c r="Y554" s="269" t="s">
        <v>218</v>
      </c>
      <c r="Z554" s="270" t="s">
        <v>218</v>
      </c>
      <c r="AA554" s="268" t="s">
        <v>218</v>
      </c>
      <c r="AB554" s="268" t="s">
        <v>218</v>
      </c>
      <c r="AC554" s="269" t="s">
        <v>219</v>
      </c>
      <c r="AD554" s="268" t="s">
        <v>218</v>
      </c>
      <c r="AE554" s="269" t="s">
        <v>219</v>
      </c>
      <c r="AF554" s="268">
        <v>0</v>
      </c>
      <c r="AG554" s="239">
        <v>1</v>
      </c>
      <c r="AH554" s="239"/>
      <c r="AI554" s="239">
        <v>1</v>
      </c>
      <c r="AJ554" s="239">
        <v>1</v>
      </c>
    </row>
    <row r="555" spans="1:36" s="81" customFormat="1" ht="32.25" customHeight="1" x14ac:dyDescent="0.3">
      <c r="A555" s="5">
        <v>548</v>
      </c>
      <c r="B555" s="84" t="s">
        <v>196</v>
      </c>
      <c r="D555" s="240" t="s">
        <v>1390</v>
      </c>
      <c r="E555" s="239">
        <v>29</v>
      </c>
      <c r="F555" s="239"/>
      <c r="G555" s="239"/>
      <c r="H555" s="84" t="s">
        <v>1240</v>
      </c>
      <c r="I555" s="239" t="s">
        <v>886</v>
      </c>
      <c r="J555" s="118" t="s">
        <v>1381</v>
      </c>
      <c r="K555" s="118"/>
      <c r="L555" s="118"/>
      <c r="M555" s="282">
        <v>1960</v>
      </c>
      <c r="N555" s="239" t="s">
        <v>318</v>
      </c>
      <c r="O555" s="282">
        <v>5</v>
      </c>
      <c r="P555" s="239">
        <v>0</v>
      </c>
      <c r="Q555" s="282">
        <v>4</v>
      </c>
      <c r="R555" s="239">
        <v>47</v>
      </c>
      <c r="S555" s="266">
        <f t="shared" si="13"/>
        <v>3958</v>
      </c>
      <c r="T555" s="267">
        <v>3958</v>
      </c>
      <c r="U555" s="267">
        <v>2754</v>
      </c>
      <c r="V555" s="267">
        <v>0</v>
      </c>
      <c r="W555" s="268" t="s">
        <v>218</v>
      </c>
      <c r="X555" s="268" t="s">
        <v>218</v>
      </c>
      <c r="Y555" s="269" t="s">
        <v>219</v>
      </c>
      <c r="Z555" s="270" t="s">
        <v>218</v>
      </c>
      <c r="AA555" s="268" t="s">
        <v>218</v>
      </c>
      <c r="AB555" s="268" t="s">
        <v>218</v>
      </c>
      <c r="AC555" s="269" t="s">
        <v>218</v>
      </c>
      <c r="AD555" s="268" t="s">
        <v>218</v>
      </c>
      <c r="AE555" s="269" t="s">
        <v>219</v>
      </c>
      <c r="AF555" s="268">
        <v>0</v>
      </c>
      <c r="AG555" s="239">
        <v>1</v>
      </c>
      <c r="AH555" s="239"/>
      <c r="AI555" s="239">
        <v>1</v>
      </c>
      <c r="AJ555" s="239">
        <v>1</v>
      </c>
    </row>
    <row r="556" spans="1:36" s="81" customFormat="1" ht="32.25" customHeight="1" x14ac:dyDescent="0.3">
      <c r="A556" s="80">
        <v>549</v>
      </c>
      <c r="B556" s="84" t="s">
        <v>196</v>
      </c>
      <c r="D556" s="240" t="s">
        <v>1390</v>
      </c>
      <c r="E556" s="239">
        <v>29</v>
      </c>
      <c r="F556" s="239"/>
      <c r="G556" s="239" t="s">
        <v>245</v>
      </c>
      <c r="H556" s="84" t="s">
        <v>1241</v>
      </c>
      <c r="I556" s="239" t="s">
        <v>886</v>
      </c>
      <c r="J556" s="118" t="s">
        <v>904</v>
      </c>
      <c r="K556" s="118"/>
      <c r="L556" s="118"/>
      <c r="M556" s="239">
        <v>1898</v>
      </c>
      <c r="N556" s="239" t="s">
        <v>318</v>
      </c>
      <c r="O556" s="239">
        <v>4</v>
      </c>
      <c r="P556" s="239">
        <v>0</v>
      </c>
      <c r="Q556" s="239">
        <v>2</v>
      </c>
      <c r="R556" s="239">
        <v>20</v>
      </c>
      <c r="S556" s="266">
        <f t="shared" si="13"/>
        <v>5368.8</v>
      </c>
      <c r="T556" s="267">
        <v>5368.8</v>
      </c>
      <c r="U556" s="267">
        <v>3897.7</v>
      </c>
      <c r="V556" s="267">
        <v>1393.1999999999998</v>
      </c>
      <c r="W556" s="268" t="s">
        <v>218</v>
      </c>
      <c r="X556" s="268" t="s">
        <v>218</v>
      </c>
      <c r="Y556" s="269" t="s">
        <v>218</v>
      </c>
      <c r="Z556" s="270" t="s">
        <v>218</v>
      </c>
      <c r="AA556" s="268" t="s">
        <v>218</v>
      </c>
      <c r="AB556" s="268" t="s">
        <v>218</v>
      </c>
      <c r="AC556" s="269" t="s">
        <v>219</v>
      </c>
      <c r="AD556" s="268" t="s">
        <v>218</v>
      </c>
      <c r="AE556" s="269" t="s">
        <v>219</v>
      </c>
      <c r="AF556" s="268">
        <v>0</v>
      </c>
      <c r="AG556" s="239">
        <v>1</v>
      </c>
      <c r="AH556" s="239"/>
      <c r="AI556" s="239">
        <v>1</v>
      </c>
      <c r="AJ556" s="239">
        <v>1</v>
      </c>
    </row>
    <row r="557" spans="1:36" s="81" customFormat="1" ht="32.25" customHeight="1" x14ac:dyDescent="0.3">
      <c r="A557" s="5">
        <v>550</v>
      </c>
      <c r="B557" s="84" t="s">
        <v>196</v>
      </c>
      <c r="D557" s="240" t="s">
        <v>1391</v>
      </c>
      <c r="E557" s="239">
        <v>1</v>
      </c>
      <c r="F557" s="239"/>
      <c r="G557" s="239" t="s">
        <v>245</v>
      </c>
      <c r="H557" s="84" t="s">
        <v>1242</v>
      </c>
      <c r="I557" s="239" t="s">
        <v>886</v>
      </c>
      <c r="J557" s="118" t="s">
        <v>1360</v>
      </c>
      <c r="K557" s="118"/>
      <c r="L557" s="118"/>
      <c r="M557" s="239">
        <v>1902</v>
      </c>
      <c r="N557" s="239" t="s">
        <v>318</v>
      </c>
      <c r="O557" s="239">
        <v>4</v>
      </c>
      <c r="P557" s="239">
        <v>0</v>
      </c>
      <c r="Q557" s="239">
        <v>2</v>
      </c>
      <c r="R557" s="239">
        <v>16</v>
      </c>
      <c r="S557" s="266">
        <f t="shared" si="13"/>
        <v>1468.9</v>
      </c>
      <c r="T557" s="267">
        <v>1468.9</v>
      </c>
      <c r="U557" s="267">
        <v>1180.3</v>
      </c>
      <c r="V557" s="267">
        <v>237.40000000000003</v>
      </c>
      <c r="W557" s="268" t="s">
        <v>218</v>
      </c>
      <c r="X557" s="268" t="s">
        <v>218</v>
      </c>
      <c r="Y557" s="269" t="s">
        <v>218</v>
      </c>
      <c r="Z557" s="270" t="s">
        <v>218</v>
      </c>
      <c r="AA557" s="268" t="s">
        <v>218</v>
      </c>
      <c r="AB557" s="268" t="s">
        <v>218</v>
      </c>
      <c r="AC557" s="269" t="s">
        <v>219</v>
      </c>
      <c r="AD557" s="268" t="s">
        <v>218</v>
      </c>
      <c r="AE557" s="269" t="s">
        <v>219</v>
      </c>
      <c r="AF557" s="268">
        <v>0</v>
      </c>
      <c r="AG557" s="239">
        <v>1</v>
      </c>
      <c r="AH557" s="239"/>
      <c r="AI557" s="239">
        <v>1</v>
      </c>
      <c r="AJ557" s="239">
        <v>1</v>
      </c>
    </row>
    <row r="558" spans="1:36" s="81" customFormat="1" ht="32.25" customHeight="1" x14ac:dyDescent="0.3">
      <c r="A558" s="80">
        <v>551</v>
      </c>
      <c r="B558" s="84" t="s">
        <v>196</v>
      </c>
      <c r="D558" s="240" t="s">
        <v>1391</v>
      </c>
      <c r="E558" s="239">
        <v>10</v>
      </c>
      <c r="F558" s="239"/>
      <c r="G558" s="239" t="s">
        <v>245</v>
      </c>
      <c r="H558" s="84" t="s">
        <v>1243</v>
      </c>
      <c r="I558" s="239" t="s">
        <v>886</v>
      </c>
      <c r="J558" s="118" t="s">
        <v>904</v>
      </c>
      <c r="K558" s="118"/>
      <c r="L558" s="118"/>
      <c r="M558" s="239">
        <v>1864</v>
      </c>
      <c r="N558" s="239" t="s">
        <v>318</v>
      </c>
      <c r="O558" s="239">
        <v>3</v>
      </c>
      <c r="P558" s="239">
        <v>0</v>
      </c>
      <c r="Q558" s="239">
        <v>1</v>
      </c>
      <c r="R558" s="239">
        <v>12</v>
      </c>
      <c r="S558" s="266">
        <f t="shared" si="13"/>
        <v>1323</v>
      </c>
      <c r="T558" s="267">
        <v>1323</v>
      </c>
      <c r="U558" s="267">
        <v>960</v>
      </c>
      <c r="V558" s="267">
        <v>102.2</v>
      </c>
      <c r="W558" s="268" t="s">
        <v>218</v>
      </c>
      <c r="X558" s="268" t="s">
        <v>218</v>
      </c>
      <c r="Y558" s="269" t="s">
        <v>219</v>
      </c>
      <c r="Z558" s="270" t="s">
        <v>218</v>
      </c>
      <c r="AA558" s="268" t="s">
        <v>218</v>
      </c>
      <c r="AB558" s="268" t="s">
        <v>218</v>
      </c>
      <c r="AC558" s="269" t="s">
        <v>218</v>
      </c>
      <c r="AD558" s="268" t="s">
        <v>218</v>
      </c>
      <c r="AE558" s="269" t="s">
        <v>219</v>
      </c>
      <c r="AF558" s="268">
        <v>0</v>
      </c>
      <c r="AG558" s="239">
        <v>1</v>
      </c>
      <c r="AH558" s="239"/>
      <c r="AI558" s="239">
        <v>0</v>
      </c>
      <c r="AJ558" s="239">
        <v>0</v>
      </c>
    </row>
    <row r="559" spans="1:36" s="81" customFormat="1" ht="32.25" customHeight="1" x14ac:dyDescent="0.3">
      <c r="A559" s="5">
        <v>552</v>
      </c>
      <c r="B559" s="84" t="s">
        <v>196</v>
      </c>
      <c r="D559" s="240" t="s">
        <v>1391</v>
      </c>
      <c r="E559" s="239">
        <v>10</v>
      </c>
      <c r="F559" s="239"/>
      <c r="G559" s="239" t="s">
        <v>1392</v>
      </c>
      <c r="H559" s="84" t="s">
        <v>1244</v>
      </c>
      <c r="I559" s="239" t="s">
        <v>886</v>
      </c>
      <c r="J559" s="118" t="s">
        <v>904</v>
      </c>
      <c r="K559" s="118"/>
      <c r="L559" s="118"/>
      <c r="M559" s="239">
        <v>1864</v>
      </c>
      <c r="N559" s="239" t="s">
        <v>318</v>
      </c>
      <c r="O559" s="239">
        <v>3</v>
      </c>
      <c r="P559" s="239">
        <v>0</v>
      </c>
      <c r="Q559" s="239">
        <v>1</v>
      </c>
      <c r="R559" s="239">
        <v>6</v>
      </c>
      <c r="S559" s="266">
        <f t="shared" si="13"/>
        <v>386.5</v>
      </c>
      <c r="T559" s="267">
        <v>386.5</v>
      </c>
      <c r="U559" s="267">
        <v>386.5</v>
      </c>
      <c r="V559" s="267">
        <v>0</v>
      </c>
      <c r="W559" s="268" t="s">
        <v>218</v>
      </c>
      <c r="X559" s="268" t="s">
        <v>218</v>
      </c>
      <c r="Y559" s="269" t="s">
        <v>219</v>
      </c>
      <c r="Z559" s="270" t="s">
        <v>218</v>
      </c>
      <c r="AA559" s="268" t="s">
        <v>218</v>
      </c>
      <c r="AB559" s="268" t="s">
        <v>218</v>
      </c>
      <c r="AC559" s="269" t="s">
        <v>218</v>
      </c>
      <c r="AD559" s="268" t="s">
        <v>218</v>
      </c>
      <c r="AE559" s="269" t="s">
        <v>219</v>
      </c>
      <c r="AF559" s="268">
        <v>0</v>
      </c>
      <c r="AG559" s="239" t="s">
        <v>940</v>
      </c>
      <c r="AH559" s="239"/>
      <c r="AI559" s="239">
        <v>0</v>
      </c>
      <c r="AJ559" s="239">
        <v>0</v>
      </c>
    </row>
    <row r="560" spans="1:36" s="81" customFormat="1" ht="32.25" customHeight="1" x14ac:dyDescent="0.3">
      <c r="A560" s="80">
        <v>553</v>
      </c>
      <c r="B560" s="84" t="s">
        <v>196</v>
      </c>
      <c r="D560" s="240" t="s">
        <v>1391</v>
      </c>
      <c r="E560" s="239">
        <v>13</v>
      </c>
      <c r="F560" s="239"/>
      <c r="G560" s="239" t="s">
        <v>245</v>
      </c>
      <c r="H560" s="84" t="s">
        <v>1245</v>
      </c>
      <c r="I560" s="239" t="s">
        <v>886</v>
      </c>
      <c r="J560" s="118" t="s">
        <v>903</v>
      </c>
      <c r="K560" s="118"/>
      <c r="L560" s="118"/>
      <c r="M560" s="239">
        <v>1917</v>
      </c>
      <c r="N560" s="239" t="s">
        <v>318</v>
      </c>
      <c r="O560" s="239">
        <v>4</v>
      </c>
      <c r="P560" s="239">
        <v>0</v>
      </c>
      <c r="Q560" s="239">
        <v>2</v>
      </c>
      <c r="R560" s="239">
        <v>27</v>
      </c>
      <c r="S560" s="266">
        <f t="shared" si="13"/>
        <v>1393.7</v>
      </c>
      <c r="T560" s="267">
        <v>1393.7</v>
      </c>
      <c r="U560" s="267">
        <v>1393.7</v>
      </c>
      <c r="V560" s="267">
        <v>0</v>
      </c>
      <c r="W560" s="268" t="s">
        <v>218</v>
      </c>
      <c r="X560" s="268" t="s">
        <v>218</v>
      </c>
      <c r="Y560" s="269" t="s">
        <v>219</v>
      </c>
      <c r="Z560" s="270" t="s">
        <v>218</v>
      </c>
      <c r="AA560" s="268" t="s">
        <v>218</v>
      </c>
      <c r="AB560" s="268" t="s">
        <v>218</v>
      </c>
      <c r="AC560" s="269" t="s">
        <v>218</v>
      </c>
      <c r="AD560" s="268" t="s">
        <v>218</v>
      </c>
      <c r="AE560" s="269" t="s">
        <v>219</v>
      </c>
      <c r="AF560" s="268">
        <v>0</v>
      </c>
      <c r="AG560" s="239">
        <v>1</v>
      </c>
      <c r="AH560" s="239"/>
      <c r="AI560" s="239">
        <v>0</v>
      </c>
      <c r="AJ560" s="239">
        <v>0</v>
      </c>
    </row>
    <row r="561" spans="1:36" s="81" customFormat="1" ht="32.25" customHeight="1" x14ac:dyDescent="0.3">
      <c r="A561" s="5">
        <v>554</v>
      </c>
      <c r="B561" s="84" t="s">
        <v>196</v>
      </c>
      <c r="D561" s="240" t="s">
        <v>1391</v>
      </c>
      <c r="E561" s="239">
        <v>16</v>
      </c>
      <c r="F561" s="239"/>
      <c r="G561" s="239" t="s">
        <v>245</v>
      </c>
      <c r="H561" s="84" t="s">
        <v>1246</v>
      </c>
      <c r="I561" s="239" t="s">
        <v>886</v>
      </c>
      <c r="J561" s="118" t="s">
        <v>904</v>
      </c>
      <c r="K561" s="118"/>
      <c r="L561" s="118"/>
      <c r="M561" s="282">
        <v>1914</v>
      </c>
      <c r="N561" s="239" t="s">
        <v>318</v>
      </c>
      <c r="O561" s="282">
        <v>4</v>
      </c>
      <c r="P561" s="239">
        <v>0</v>
      </c>
      <c r="Q561" s="282">
        <v>2</v>
      </c>
      <c r="R561" s="239">
        <v>12</v>
      </c>
      <c r="S561" s="266">
        <f t="shared" si="13"/>
        <v>885.2</v>
      </c>
      <c r="T561" s="267">
        <v>885.2</v>
      </c>
      <c r="U561" s="267">
        <v>705.2</v>
      </c>
      <c r="V561" s="267">
        <v>175.7</v>
      </c>
      <c r="W561" s="268" t="s">
        <v>218</v>
      </c>
      <c r="X561" s="268" t="s">
        <v>218</v>
      </c>
      <c r="Y561" s="269" t="s">
        <v>219</v>
      </c>
      <c r="Z561" s="270" t="s">
        <v>218</v>
      </c>
      <c r="AA561" s="268" t="s">
        <v>218</v>
      </c>
      <c r="AB561" s="268" t="s">
        <v>218</v>
      </c>
      <c r="AC561" s="269" t="s">
        <v>218</v>
      </c>
      <c r="AD561" s="268" t="s">
        <v>218</v>
      </c>
      <c r="AE561" s="269" t="s">
        <v>219</v>
      </c>
      <c r="AF561" s="268">
        <v>0</v>
      </c>
      <c r="AG561" s="239">
        <v>1</v>
      </c>
      <c r="AH561" s="239"/>
      <c r="AI561" s="239">
        <v>0</v>
      </c>
      <c r="AJ561" s="239">
        <v>0</v>
      </c>
    </row>
    <row r="562" spans="1:36" s="81" customFormat="1" ht="32.25" customHeight="1" x14ac:dyDescent="0.3">
      <c r="A562" s="80">
        <v>555</v>
      </c>
      <c r="B562" s="84" t="s">
        <v>196</v>
      </c>
      <c r="D562" s="240" t="s">
        <v>1391</v>
      </c>
      <c r="E562" s="239">
        <v>18</v>
      </c>
      <c r="F562" s="239"/>
      <c r="G562" s="239" t="s">
        <v>245</v>
      </c>
      <c r="H562" s="84" t="s">
        <v>1247</v>
      </c>
      <c r="I562" s="239" t="s">
        <v>886</v>
      </c>
      <c r="J562" s="118" t="s">
        <v>904</v>
      </c>
      <c r="K562" s="118"/>
      <c r="L562" s="118"/>
      <c r="M562" s="282">
        <v>1908</v>
      </c>
      <c r="N562" s="239" t="s">
        <v>318</v>
      </c>
      <c r="O562" s="282">
        <v>5</v>
      </c>
      <c r="P562" s="239">
        <v>0</v>
      </c>
      <c r="Q562" s="282">
        <v>1</v>
      </c>
      <c r="R562" s="239">
        <v>20</v>
      </c>
      <c r="S562" s="266">
        <f t="shared" si="13"/>
        <v>1520.9</v>
      </c>
      <c r="T562" s="267">
        <v>1520.9</v>
      </c>
      <c r="U562" s="267">
        <v>1211.5</v>
      </c>
      <c r="V562" s="267">
        <v>297.59999999999997</v>
      </c>
      <c r="W562" s="268" t="s">
        <v>218</v>
      </c>
      <c r="X562" s="268" t="s">
        <v>218</v>
      </c>
      <c r="Y562" s="269" t="s">
        <v>219</v>
      </c>
      <c r="Z562" s="270" t="s">
        <v>218</v>
      </c>
      <c r="AA562" s="268" t="s">
        <v>218</v>
      </c>
      <c r="AB562" s="268" t="s">
        <v>218</v>
      </c>
      <c r="AC562" s="269" t="s">
        <v>218</v>
      </c>
      <c r="AD562" s="268" t="s">
        <v>218</v>
      </c>
      <c r="AE562" s="269" t="s">
        <v>219</v>
      </c>
      <c r="AF562" s="268">
        <v>1</v>
      </c>
      <c r="AG562" s="239">
        <v>2</v>
      </c>
      <c r="AH562" s="239"/>
      <c r="AI562" s="239">
        <v>0</v>
      </c>
      <c r="AJ562" s="239">
        <v>0</v>
      </c>
    </row>
    <row r="563" spans="1:36" s="81" customFormat="1" ht="32.25" customHeight="1" x14ac:dyDescent="0.3">
      <c r="A563" s="5">
        <v>556</v>
      </c>
      <c r="B563" s="84" t="s">
        <v>196</v>
      </c>
      <c r="D563" s="240" t="s">
        <v>1391</v>
      </c>
      <c r="E563" s="239">
        <v>19</v>
      </c>
      <c r="F563" s="239"/>
      <c r="G563" s="239" t="s">
        <v>245</v>
      </c>
      <c r="H563" s="84" t="s">
        <v>1248</v>
      </c>
      <c r="I563" s="239" t="s">
        <v>886</v>
      </c>
      <c r="J563" s="239" t="s">
        <v>887</v>
      </c>
      <c r="K563" s="118" t="s">
        <v>922</v>
      </c>
      <c r="L563" s="239"/>
      <c r="M563" s="282">
        <v>1958</v>
      </c>
      <c r="N563" s="239" t="s">
        <v>318</v>
      </c>
      <c r="O563" s="282">
        <v>5</v>
      </c>
      <c r="P563" s="239">
        <v>0</v>
      </c>
      <c r="Q563" s="282">
        <v>4</v>
      </c>
      <c r="R563" s="239">
        <v>44</v>
      </c>
      <c r="S563" s="266">
        <f t="shared" si="13"/>
        <v>5055</v>
      </c>
      <c r="T563" s="267">
        <v>5055</v>
      </c>
      <c r="U563" s="267">
        <v>3687.1</v>
      </c>
      <c r="V563" s="267">
        <v>847.6</v>
      </c>
      <c r="W563" s="268" t="s">
        <v>218</v>
      </c>
      <c r="X563" s="268" t="s">
        <v>218</v>
      </c>
      <c r="Y563" s="269" t="s">
        <v>219</v>
      </c>
      <c r="Z563" s="270" t="s">
        <v>218</v>
      </c>
      <c r="AA563" s="268" t="s">
        <v>218</v>
      </c>
      <c r="AB563" s="268" t="s">
        <v>218</v>
      </c>
      <c r="AC563" s="269" t="s">
        <v>218</v>
      </c>
      <c r="AD563" s="268" t="s">
        <v>218</v>
      </c>
      <c r="AE563" s="269" t="s">
        <v>219</v>
      </c>
      <c r="AF563" s="268">
        <v>0</v>
      </c>
      <c r="AG563" s="239">
        <v>2</v>
      </c>
      <c r="AH563" s="239"/>
      <c r="AI563" s="239">
        <v>0</v>
      </c>
      <c r="AJ563" s="239">
        <v>1</v>
      </c>
    </row>
    <row r="564" spans="1:36" s="81" customFormat="1" ht="32.25" customHeight="1" x14ac:dyDescent="0.3">
      <c r="A564" s="80">
        <v>557</v>
      </c>
      <c r="B564" s="84" t="s">
        <v>196</v>
      </c>
      <c r="D564" s="240" t="s">
        <v>1391</v>
      </c>
      <c r="E564" s="239">
        <v>23</v>
      </c>
      <c r="F564" s="239"/>
      <c r="G564" s="239" t="s">
        <v>245</v>
      </c>
      <c r="H564" s="84" t="s">
        <v>1249</v>
      </c>
      <c r="I564" s="239" t="s">
        <v>886</v>
      </c>
      <c r="J564" s="239" t="s">
        <v>887</v>
      </c>
      <c r="K564" s="118"/>
      <c r="L564" s="239"/>
      <c r="M564" s="282">
        <v>1890</v>
      </c>
      <c r="N564" s="239" t="s">
        <v>318</v>
      </c>
      <c r="O564" s="282">
        <v>5</v>
      </c>
      <c r="P564" s="239">
        <v>0</v>
      </c>
      <c r="Q564" s="282">
        <v>2</v>
      </c>
      <c r="R564" s="239">
        <v>12</v>
      </c>
      <c r="S564" s="266">
        <f t="shared" si="13"/>
        <v>2632.6</v>
      </c>
      <c r="T564" s="267">
        <v>2632.6</v>
      </c>
      <c r="U564" s="267">
        <v>1384.1</v>
      </c>
      <c r="V564" s="267">
        <v>907.8</v>
      </c>
      <c r="W564" s="268" t="s">
        <v>218</v>
      </c>
      <c r="X564" s="268" t="s">
        <v>218</v>
      </c>
      <c r="Y564" s="269" t="s">
        <v>219</v>
      </c>
      <c r="Z564" s="270" t="s">
        <v>218</v>
      </c>
      <c r="AA564" s="268" t="s">
        <v>218</v>
      </c>
      <c r="AB564" s="268" t="s">
        <v>218</v>
      </c>
      <c r="AC564" s="269" t="s">
        <v>218</v>
      </c>
      <c r="AD564" s="268" t="s">
        <v>218</v>
      </c>
      <c r="AE564" s="269" t="s">
        <v>219</v>
      </c>
      <c r="AF564" s="268">
        <v>0</v>
      </c>
      <c r="AG564" s="239">
        <v>1</v>
      </c>
      <c r="AH564" s="239"/>
      <c r="AI564" s="239">
        <v>0</v>
      </c>
      <c r="AJ564" s="239">
        <v>0</v>
      </c>
    </row>
    <row r="565" spans="1:36" s="81" customFormat="1" ht="32.25" customHeight="1" x14ac:dyDescent="0.3">
      <c r="A565" s="5">
        <v>558</v>
      </c>
      <c r="B565" s="84" t="s">
        <v>196</v>
      </c>
      <c r="D565" s="240" t="s">
        <v>1391</v>
      </c>
      <c r="E565" s="239">
        <v>25</v>
      </c>
      <c r="F565" s="239"/>
      <c r="G565" s="239" t="s">
        <v>245</v>
      </c>
      <c r="H565" s="84" t="s">
        <v>1250</v>
      </c>
      <c r="I565" s="239" t="s">
        <v>886</v>
      </c>
      <c r="J565" s="239" t="s">
        <v>887</v>
      </c>
      <c r="K565" s="118"/>
      <c r="L565" s="239"/>
      <c r="M565" s="282">
        <v>1866</v>
      </c>
      <c r="N565" s="239" t="s">
        <v>318</v>
      </c>
      <c r="O565" s="282">
        <v>5</v>
      </c>
      <c r="P565" s="239">
        <v>0</v>
      </c>
      <c r="Q565" s="282">
        <v>3</v>
      </c>
      <c r="R565" s="239">
        <v>21</v>
      </c>
      <c r="S565" s="266">
        <f t="shared" si="13"/>
        <v>2371.9</v>
      </c>
      <c r="T565" s="267">
        <v>2371.9</v>
      </c>
      <c r="U565" s="267">
        <v>2047.3</v>
      </c>
      <c r="V565" s="267">
        <v>324.60000000000002</v>
      </c>
      <c r="W565" s="268" t="s">
        <v>218</v>
      </c>
      <c r="X565" s="268" t="s">
        <v>218</v>
      </c>
      <c r="Y565" s="269" t="s">
        <v>219</v>
      </c>
      <c r="Z565" s="270" t="s">
        <v>218</v>
      </c>
      <c r="AA565" s="268" t="s">
        <v>218</v>
      </c>
      <c r="AB565" s="268" t="s">
        <v>218</v>
      </c>
      <c r="AC565" s="269" t="s">
        <v>218</v>
      </c>
      <c r="AD565" s="268" t="s">
        <v>218</v>
      </c>
      <c r="AE565" s="269" t="s">
        <v>219</v>
      </c>
      <c r="AF565" s="268">
        <v>3</v>
      </c>
      <c r="AG565" s="239">
        <v>2</v>
      </c>
      <c r="AH565" s="239"/>
      <c r="AI565" s="239">
        <v>0</v>
      </c>
      <c r="AJ565" s="239">
        <v>1</v>
      </c>
    </row>
    <row r="566" spans="1:36" s="81" customFormat="1" ht="32.25" customHeight="1" x14ac:dyDescent="0.3">
      <c r="A566" s="80">
        <v>559</v>
      </c>
      <c r="B566" s="84" t="s">
        <v>196</v>
      </c>
      <c r="D566" s="240" t="s">
        <v>1391</v>
      </c>
      <c r="E566" s="239">
        <v>26</v>
      </c>
      <c r="F566" s="239"/>
      <c r="G566" s="239" t="s">
        <v>245</v>
      </c>
      <c r="H566" s="84" t="s">
        <v>1251</v>
      </c>
      <c r="I566" s="239" t="s">
        <v>886</v>
      </c>
      <c r="J566" s="118" t="s">
        <v>904</v>
      </c>
      <c r="K566" s="118"/>
      <c r="L566" s="118"/>
      <c r="M566" s="282">
        <v>1917</v>
      </c>
      <c r="N566" s="239" t="s">
        <v>318</v>
      </c>
      <c r="O566" s="282">
        <v>3</v>
      </c>
      <c r="P566" s="239">
        <v>0</v>
      </c>
      <c r="Q566" s="282">
        <v>3</v>
      </c>
      <c r="R566" s="239">
        <v>16</v>
      </c>
      <c r="S566" s="266">
        <f t="shared" si="13"/>
        <v>1395.7</v>
      </c>
      <c r="T566" s="267">
        <v>1395.7</v>
      </c>
      <c r="U566" s="267">
        <v>1393.3</v>
      </c>
      <c r="V566" s="267">
        <v>0</v>
      </c>
      <c r="W566" s="268" t="s">
        <v>218</v>
      </c>
      <c r="X566" s="268" t="s">
        <v>218</v>
      </c>
      <c r="Y566" s="269" t="s">
        <v>219</v>
      </c>
      <c r="Z566" s="270" t="s">
        <v>218</v>
      </c>
      <c r="AA566" s="268" t="s">
        <v>218</v>
      </c>
      <c r="AB566" s="268" t="s">
        <v>218</v>
      </c>
      <c r="AC566" s="269" t="s">
        <v>218</v>
      </c>
      <c r="AD566" s="268" t="s">
        <v>218</v>
      </c>
      <c r="AE566" s="269" t="s">
        <v>219</v>
      </c>
      <c r="AF566" s="268">
        <v>0</v>
      </c>
      <c r="AG566" s="239">
        <v>1</v>
      </c>
      <c r="AH566" s="239"/>
      <c r="AI566" s="239">
        <v>0</v>
      </c>
      <c r="AJ566" s="239">
        <v>0</v>
      </c>
    </row>
    <row r="567" spans="1:36" s="81" customFormat="1" ht="32.25" customHeight="1" x14ac:dyDescent="0.3">
      <c r="A567" s="5">
        <v>560</v>
      </c>
      <c r="B567" s="84" t="s">
        <v>196</v>
      </c>
      <c r="D567" s="240" t="s">
        <v>1391</v>
      </c>
      <c r="E567" s="239">
        <v>3</v>
      </c>
      <c r="F567" s="239"/>
      <c r="G567" s="239" t="s">
        <v>245</v>
      </c>
      <c r="H567" s="84" t="s">
        <v>1252</v>
      </c>
      <c r="I567" s="239" t="s">
        <v>886</v>
      </c>
      <c r="J567" s="118" t="s">
        <v>1357</v>
      </c>
      <c r="K567" s="118"/>
      <c r="L567" s="118"/>
      <c r="M567" s="239">
        <v>1900</v>
      </c>
      <c r="N567" s="239" t="s">
        <v>318</v>
      </c>
      <c r="O567" s="239">
        <v>4</v>
      </c>
      <c r="P567" s="239">
        <v>0</v>
      </c>
      <c r="Q567" s="239">
        <v>1</v>
      </c>
      <c r="R567" s="239">
        <v>12</v>
      </c>
      <c r="S567" s="266">
        <f t="shared" si="13"/>
        <v>1056.3</v>
      </c>
      <c r="T567" s="267">
        <v>1056.3</v>
      </c>
      <c r="U567" s="267">
        <v>865.4</v>
      </c>
      <c r="V567" s="267">
        <v>0</v>
      </c>
      <c r="W567" s="268" t="s">
        <v>218</v>
      </c>
      <c r="X567" s="268" t="s">
        <v>218</v>
      </c>
      <c r="Y567" s="269" t="s">
        <v>218</v>
      </c>
      <c r="Z567" s="270" t="s">
        <v>218</v>
      </c>
      <c r="AA567" s="268" t="s">
        <v>218</v>
      </c>
      <c r="AB567" s="268" t="s">
        <v>218</v>
      </c>
      <c r="AC567" s="269" t="s">
        <v>219</v>
      </c>
      <c r="AD567" s="268" t="s">
        <v>218</v>
      </c>
      <c r="AE567" s="269" t="s">
        <v>219</v>
      </c>
      <c r="AF567" s="268">
        <v>0</v>
      </c>
      <c r="AG567" s="239">
        <v>1</v>
      </c>
      <c r="AH567" s="239"/>
      <c r="AI567" s="239">
        <v>0</v>
      </c>
      <c r="AJ567" s="239">
        <v>0</v>
      </c>
    </row>
    <row r="568" spans="1:36" s="81" customFormat="1" ht="32.25" customHeight="1" x14ac:dyDescent="0.3">
      <c r="A568" s="80">
        <v>561</v>
      </c>
      <c r="B568" s="84" t="s">
        <v>196</v>
      </c>
      <c r="D568" s="240" t="s">
        <v>1391</v>
      </c>
      <c r="E568" s="239">
        <v>5</v>
      </c>
      <c r="F568" s="239"/>
      <c r="G568" s="239" t="s">
        <v>245</v>
      </c>
      <c r="H568" s="84" t="s">
        <v>1253</v>
      </c>
      <c r="I568" s="239" t="s">
        <v>886</v>
      </c>
      <c r="J568" s="118" t="s">
        <v>904</v>
      </c>
      <c r="K568" s="118"/>
      <c r="L568" s="118"/>
      <c r="M568" s="239">
        <v>1905</v>
      </c>
      <c r="N568" s="239" t="s">
        <v>318</v>
      </c>
      <c r="O568" s="239">
        <v>4</v>
      </c>
      <c r="P568" s="239">
        <v>0</v>
      </c>
      <c r="Q568" s="239">
        <v>2</v>
      </c>
      <c r="R568" s="239">
        <v>32</v>
      </c>
      <c r="S568" s="266">
        <f t="shared" si="13"/>
        <v>2170.4</v>
      </c>
      <c r="T568" s="267">
        <v>2170.4</v>
      </c>
      <c r="U568" s="267">
        <v>2048.9</v>
      </c>
      <c r="V568" s="267">
        <v>0</v>
      </c>
      <c r="W568" s="268" t="s">
        <v>218</v>
      </c>
      <c r="X568" s="268" t="s">
        <v>218</v>
      </c>
      <c r="Y568" s="269" t="s">
        <v>218</v>
      </c>
      <c r="Z568" s="270" t="s">
        <v>218</v>
      </c>
      <c r="AA568" s="268" t="s">
        <v>218</v>
      </c>
      <c r="AB568" s="268" t="s">
        <v>218</v>
      </c>
      <c r="AC568" s="269" t="s">
        <v>219</v>
      </c>
      <c r="AD568" s="268" t="s">
        <v>218</v>
      </c>
      <c r="AE568" s="269" t="s">
        <v>219</v>
      </c>
      <c r="AF568" s="268">
        <v>0</v>
      </c>
      <c r="AG568" s="239">
        <v>1</v>
      </c>
      <c r="AH568" s="239"/>
      <c r="AI568" s="239">
        <v>1</v>
      </c>
      <c r="AJ568" s="239">
        <v>1</v>
      </c>
    </row>
    <row r="569" spans="1:36" s="81" customFormat="1" ht="32.25" customHeight="1" x14ac:dyDescent="0.3">
      <c r="A569" s="5">
        <v>562</v>
      </c>
      <c r="B569" s="84" t="s">
        <v>196</v>
      </c>
      <c r="D569" s="240" t="s">
        <v>1393</v>
      </c>
      <c r="E569" s="239">
        <v>6</v>
      </c>
      <c r="F569" s="239"/>
      <c r="G569" s="239" t="s">
        <v>245</v>
      </c>
      <c r="H569" s="84" t="s">
        <v>1254</v>
      </c>
      <c r="I569" s="239" t="s">
        <v>886</v>
      </c>
      <c r="J569" s="239"/>
      <c r="K569" s="118"/>
      <c r="L569" s="239"/>
      <c r="M569" s="239">
        <v>1917</v>
      </c>
      <c r="N569" s="239" t="s">
        <v>318</v>
      </c>
      <c r="O569" s="239">
        <v>3</v>
      </c>
      <c r="P569" s="239">
        <v>0</v>
      </c>
      <c r="Q569" s="239">
        <v>1</v>
      </c>
      <c r="R569" s="239">
        <v>12</v>
      </c>
      <c r="S569" s="266">
        <f t="shared" si="13"/>
        <v>204.3</v>
      </c>
      <c r="T569" s="267">
        <v>204.3</v>
      </c>
      <c r="U569" s="267">
        <v>175.1</v>
      </c>
      <c r="V569" s="267">
        <v>29.2</v>
      </c>
      <c r="W569" s="268" t="s">
        <v>218</v>
      </c>
      <c r="X569" s="268" t="s">
        <v>218</v>
      </c>
      <c r="Y569" s="269" t="s">
        <v>219</v>
      </c>
      <c r="Z569" s="270" t="s">
        <v>218</v>
      </c>
      <c r="AA569" s="268" t="s">
        <v>218</v>
      </c>
      <c r="AB569" s="268" t="s">
        <v>218</v>
      </c>
      <c r="AC569" s="269" t="s">
        <v>218</v>
      </c>
      <c r="AD569" s="268" t="s">
        <v>218</v>
      </c>
      <c r="AE569" s="269" t="s">
        <v>219</v>
      </c>
      <c r="AF569" s="268">
        <v>0</v>
      </c>
      <c r="AG569" s="239" t="s">
        <v>444</v>
      </c>
      <c r="AH569" s="239"/>
      <c r="AI569" s="239">
        <v>0</v>
      </c>
      <c r="AJ569" s="239">
        <v>0</v>
      </c>
    </row>
    <row r="570" spans="1:36" s="81" customFormat="1" ht="32.25" customHeight="1" x14ac:dyDescent="0.3">
      <c r="A570" s="80">
        <v>563</v>
      </c>
      <c r="B570" s="84" t="s">
        <v>196</v>
      </c>
      <c r="D570" s="240" t="s">
        <v>1394</v>
      </c>
      <c r="E570" s="239">
        <v>1</v>
      </c>
      <c r="F570" s="239"/>
      <c r="G570" s="239" t="s">
        <v>245</v>
      </c>
      <c r="H570" s="84" t="s">
        <v>1255</v>
      </c>
      <c r="I570" s="239" t="s">
        <v>886</v>
      </c>
      <c r="J570" s="239" t="s">
        <v>887</v>
      </c>
      <c r="K570" s="118"/>
      <c r="L570" s="239"/>
      <c r="M570" s="239">
        <v>1958</v>
      </c>
      <c r="N570" s="239" t="s">
        <v>318</v>
      </c>
      <c r="O570" s="239">
        <v>4</v>
      </c>
      <c r="P570" s="239">
        <v>0</v>
      </c>
      <c r="Q570" s="239">
        <v>3</v>
      </c>
      <c r="R570" s="239">
        <v>44</v>
      </c>
      <c r="S570" s="266">
        <f t="shared" si="13"/>
        <v>2211.5700000000002</v>
      </c>
      <c r="T570" s="267">
        <v>2211.5700000000002</v>
      </c>
      <c r="U570" s="267">
        <v>2160.39</v>
      </c>
      <c r="V570" s="267">
        <v>0</v>
      </c>
      <c r="W570" s="268" t="s">
        <v>218</v>
      </c>
      <c r="X570" s="268" t="s">
        <v>218</v>
      </c>
      <c r="Y570" s="269" t="s">
        <v>219</v>
      </c>
      <c r="Z570" s="270" t="s">
        <v>218</v>
      </c>
      <c r="AA570" s="268" t="s">
        <v>218</v>
      </c>
      <c r="AB570" s="268" t="s">
        <v>218</v>
      </c>
      <c r="AC570" s="269" t="s">
        <v>218</v>
      </c>
      <c r="AD570" s="268" t="s">
        <v>218</v>
      </c>
      <c r="AE570" s="269" t="s">
        <v>219</v>
      </c>
      <c r="AF570" s="268">
        <v>0</v>
      </c>
      <c r="AG570" s="239">
        <v>1</v>
      </c>
      <c r="AH570" s="239"/>
      <c r="AI570" s="239">
        <v>0</v>
      </c>
      <c r="AJ570" s="239">
        <v>1</v>
      </c>
    </row>
    <row r="571" spans="1:36" s="81" customFormat="1" ht="32.25" customHeight="1" x14ac:dyDescent="0.3">
      <c r="A571" s="5">
        <v>564</v>
      </c>
      <c r="B571" s="84" t="s">
        <v>196</v>
      </c>
      <c r="D571" s="240" t="s">
        <v>1394</v>
      </c>
      <c r="E571" s="239">
        <v>10</v>
      </c>
      <c r="F571" s="239"/>
      <c r="G571" s="239" t="s">
        <v>245</v>
      </c>
      <c r="H571" s="84" t="s">
        <v>1256</v>
      </c>
      <c r="I571" s="239" t="s">
        <v>886</v>
      </c>
      <c r="J571" s="239" t="s">
        <v>887</v>
      </c>
      <c r="K571" s="118" t="s">
        <v>920</v>
      </c>
      <c r="L571" s="239"/>
      <c r="M571" s="282">
        <v>1964</v>
      </c>
      <c r="N571" s="239" t="s">
        <v>889</v>
      </c>
      <c r="O571" s="282">
        <v>5</v>
      </c>
      <c r="P571" s="239">
        <v>0</v>
      </c>
      <c r="Q571" s="282">
        <v>6</v>
      </c>
      <c r="R571" s="239">
        <v>90</v>
      </c>
      <c r="S571" s="266">
        <f t="shared" si="13"/>
        <v>4193</v>
      </c>
      <c r="T571" s="267">
        <v>4193</v>
      </c>
      <c r="U571" s="267">
        <v>4089.8</v>
      </c>
      <c r="V571" s="267">
        <v>0</v>
      </c>
      <c r="W571" s="268" t="s">
        <v>218</v>
      </c>
      <c r="X571" s="268" t="s">
        <v>218</v>
      </c>
      <c r="Y571" s="269" t="s">
        <v>218</v>
      </c>
      <c r="Z571" s="270" t="s">
        <v>218</v>
      </c>
      <c r="AA571" s="268" t="s">
        <v>218</v>
      </c>
      <c r="AB571" s="268" t="s">
        <v>218</v>
      </c>
      <c r="AC571" s="269" t="s">
        <v>219</v>
      </c>
      <c r="AD571" s="268" t="s">
        <v>218</v>
      </c>
      <c r="AE571" s="269" t="s">
        <v>219</v>
      </c>
      <c r="AF571" s="268">
        <v>0</v>
      </c>
      <c r="AG571" s="239">
        <v>1</v>
      </c>
      <c r="AH571" s="239"/>
      <c r="AI571" s="239">
        <v>1</v>
      </c>
      <c r="AJ571" s="239">
        <v>1</v>
      </c>
    </row>
    <row r="572" spans="1:36" s="81" customFormat="1" ht="32.25" customHeight="1" x14ac:dyDescent="0.3">
      <c r="A572" s="80">
        <v>565</v>
      </c>
      <c r="B572" s="84" t="s">
        <v>196</v>
      </c>
      <c r="D572" s="240" t="s">
        <v>1394</v>
      </c>
      <c r="E572" s="239">
        <v>11</v>
      </c>
      <c r="F572" s="239"/>
      <c r="G572" s="239" t="s">
        <v>245</v>
      </c>
      <c r="H572" s="84" t="s">
        <v>1257</v>
      </c>
      <c r="I572" s="239" t="s">
        <v>886</v>
      </c>
      <c r="J572" s="239" t="s">
        <v>1395</v>
      </c>
      <c r="K572" s="118"/>
      <c r="L572" s="239"/>
      <c r="M572" s="282">
        <v>1949</v>
      </c>
      <c r="N572" s="239" t="s">
        <v>318</v>
      </c>
      <c r="O572" s="282">
        <v>2</v>
      </c>
      <c r="P572" s="239">
        <v>0</v>
      </c>
      <c r="Q572" s="282">
        <v>1</v>
      </c>
      <c r="R572" s="239">
        <v>8</v>
      </c>
      <c r="S572" s="266">
        <f t="shared" si="13"/>
        <v>417.3</v>
      </c>
      <c r="T572" s="267">
        <v>417.3</v>
      </c>
      <c r="U572" s="267">
        <v>372.9</v>
      </c>
      <c r="V572" s="267">
        <v>0</v>
      </c>
      <c r="W572" s="268" t="s">
        <v>218</v>
      </c>
      <c r="X572" s="268" t="s">
        <v>218</v>
      </c>
      <c r="Y572" s="269" t="s">
        <v>219</v>
      </c>
      <c r="Z572" s="270" t="s">
        <v>218</v>
      </c>
      <c r="AA572" s="268" t="s">
        <v>218</v>
      </c>
      <c r="AB572" s="268" t="s">
        <v>218</v>
      </c>
      <c r="AC572" s="269" t="s">
        <v>218</v>
      </c>
      <c r="AD572" s="268" t="s">
        <v>218</v>
      </c>
      <c r="AE572" s="269" t="s">
        <v>219</v>
      </c>
      <c r="AF572" s="268">
        <v>0</v>
      </c>
      <c r="AG572" s="239">
        <v>1</v>
      </c>
      <c r="AH572" s="239"/>
      <c r="AI572" s="239">
        <v>1</v>
      </c>
      <c r="AJ572" s="239">
        <v>1</v>
      </c>
    </row>
    <row r="573" spans="1:36" s="81" customFormat="1" ht="32.25" customHeight="1" x14ac:dyDescent="0.3">
      <c r="A573" s="5">
        <v>566</v>
      </c>
      <c r="B573" s="84" t="s">
        <v>196</v>
      </c>
      <c r="D573" s="240" t="s">
        <v>1394</v>
      </c>
      <c r="E573" s="239">
        <v>14</v>
      </c>
      <c r="F573" s="239"/>
      <c r="G573" s="239" t="s">
        <v>245</v>
      </c>
      <c r="H573" s="84" t="s">
        <v>1258</v>
      </c>
      <c r="I573" s="239" t="s">
        <v>886</v>
      </c>
      <c r="J573" s="239" t="s">
        <v>887</v>
      </c>
      <c r="K573" s="118" t="s">
        <v>920</v>
      </c>
      <c r="L573" s="239"/>
      <c r="M573" s="282">
        <v>1964</v>
      </c>
      <c r="N573" s="239" t="s">
        <v>889</v>
      </c>
      <c r="O573" s="282">
        <v>5</v>
      </c>
      <c r="P573" s="239">
        <v>0</v>
      </c>
      <c r="Q573" s="282">
        <v>8</v>
      </c>
      <c r="R573" s="239">
        <v>120</v>
      </c>
      <c r="S573" s="266">
        <f t="shared" si="13"/>
        <v>5587.4</v>
      </c>
      <c r="T573" s="267">
        <v>5587.4</v>
      </c>
      <c r="U573" s="267">
        <v>5444</v>
      </c>
      <c r="V573" s="267">
        <v>0</v>
      </c>
      <c r="W573" s="268" t="s">
        <v>218</v>
      </c>
      <c r="X573" s="268" t="s">
        <v>218</v>
      </c>
      <c r="Y573" s="269" t="s">
        <v>218</v>
      </c>
      <c r="Z573" s="270" t="s">
        <v>218</v>
      </c>
      <c r="AA573" s="268" t="s">
        <v>218</v>
      </c>
      <c r="AB573" s="268" t="s">
        <v>218</v>
      </c>
      <c r="AC573" s="269" t="s">
        <v>219</v>
      </c>
      <c r="AD573" s="268" t="s">
        <v>218</v>
      </c>
      <c r="AE573" s="269" t="s">
        <v>219</v>
      </c>
      <c r="AF573" s="268">
        <v>0</v>
      </c>
      <c r="AG573" s="239">
        <v>2</v>
      </c>
      <c r="AH573" s="239"/>
      <c r="AI573" s="239">
        <v>1</v>
      </c>
      <c r="AJ573" s="239">
        <v>1</v>
      </c>
    </row>
    <row r="574" spans="1:36" s="81" customFormat="1" ht="32.25" customHeight="1" x14ac:dyDescent="0.3">
      <c r="A574" s="80">
        <v>567</v>
      </c>
      <c r="B574" s="84" t="s">
        <v>196</v>
      </c>
      <c r="D574" s="240" t="s">
        <v>1394</v>
      </c>
      <c r="E574" s="239">
        <v>15</v>
      </c>
      <c r="F574" s="239"/>
      <c r="G574" s="239" t="s">
        <v>245</v>
      </c>
      <c r="H574" s="84" t="s">
        <v>1259</v>
      </c>
      <c r="I574" s="239" t="s">
        <v>886</v>
      </c>
      <c r="J574" s="239" t="s">
        <v>216</v>
      </c>
      <c r="K574" s="118" t="s">
        <v>941</v>
      </c>
      <c r="L574" s="239"/>
      <c r="M574" s="282">
        <v>1989</v>
      </c>
      <c r="N574" s="239" t="s">
        <v>889</v>
      </c>
      <c r="O574" s="282">
        <v>5</v>
      </c>
      <c r="P574" s="239">
        <v>0</v>
      </c>
      <c r="Q574" s="282">
        <v>4</v>
      </c>
      <c r="R574" s="239">
        <v>60</v>
      </c>
      <c r="S574" s="266">
        <f t="shared" si="13"/>
        <v>3279.6</v>
      </c>
      <c r="T574" s="267">
        <v>3279.6</v>
      </c>
      <c r="U574" s="267">
        <v>3237.5</v>
      </c>
      <c r="V574" s="267">
        <v>0</v>
      </c>
      <c r="W574" s="268" t="s">
        <v>218</v>
      </c>
      <c r="X574" s="268" t="s">
        <v>218</v>
      </c>
      <c r="Y574" s="269" t="s">
        <v>218</v>
      </c>
      <c r="Z574" s="270" t="s">
        <v>218</v>
      </c>
      <c r="AA574" s="268" t="s">
        <v>218</v>
      </c>
      <c r="AB574" s="268" t="s">
        <v>218</v>
      </c>
      <c r="AC574" s="269" t="s">
        <v>219</v>
      </c>
      <c r="AD574" s="268" t="s">
        <v>218</v>
      </c>
      <c r="AE574" s="269" t="s">
        <v>219</v>
      </c>
      <c r="AF574" s="268">
        <v>0</v>
      </c>
      <c r="AG574" s="239">
        <v>1</v>
      </c>
      <c r="AH574" s="239"/>
      <c r="AI574" s="239">
        <v>1</v>
      </c>
      <c r="AJ574" s="239">
        <v>1</v>
      </c>
    </row>
    <row r="575" spans="1:36" s="81" customFormat="1" ht="32.25" customHeight="1" x14ac:dyDescent="0.3">
      <c r="A575" s="5">
        <v>568</v>
      </c>
      <c r="B575" s="84" t="s">
        <v>196</v>
      </c>
      <c r="D575" s="240" t="s">
        <v>1394</v>
      </c>
      <c r="E575" s="239">
        <v>19</v>
      </c>
      <c r="F575" s="239"/>
      <c r="G575" s="239" t="s">
        <v>245</v>
      </c>
      <c r="H575" s="84" t="s">
        <v>1260</v>
      </c>
      <c r="I575" s="239" t="s">
        <v>886</v>
      </c>
      <c r="J575" s="239" t="s">
        <v>1395</v>
      </c>
      <c r="K575" s="118"/>
      <c r="L575" s="239"/>
      <c r="M575" s="282">
        <v>1950</v>
      </c>
      <c r="N575" s="239" t="s">
        <v>318</v>
      </c>
      <c r="O575" s="239">
        <v>2</v>
      </c>
      <c r="P575" s="239">
        <v>0</v>
      </c>
      <c r="Q575" s="239">
        <v>1</v>
      </c>
      <c r="R575" s="239">
        <v>8</v>
      </c>
      <c r="S575" s="266">
        <f t="shared" si="13"/>
        <v>587.9</v>
      </c>
      <c r="T575" s="267">
        <v>587.9</v>
      </c>
      <c r="U575" s="267">
        <v>456.2</v>
      </c>
      <c r="V575" s="267">
        <v>0</v>
      </c>
      <c r="W575" s="268" t="s">
        <v>218</v>
      </c>
      <c r="X575" s="268" t="s">
        <v>218</v>
      </c>
      <c r="Y575" s="269" t="s">
        <v>219</v>
      </c>
      <c r="Z575" s="270" t="s">
        <v>218</v>
      </c>
      <c r="AA575" s="268" t="s">
        <v>218</v>
      </c>
      <c r="AB575" s="268" t="s">
        <v>218</v>
      </c>
      <c r="AC575" s="269" t="s">
        <v>218</v>
      </c>
      <c r="AD575" s="268" t="s">
        <v>218</v>
      </c>
      <c r="AE575" s="269" t="s">
        <v>219</v>
      </c>
      <c r="AF575" s="268">
        <v>0</v>
      </c>
      <c r="AG575" s="239">
        <v>1</v>
      </c>
      <c r="AH575" s="239"/>
      <c r="AI575" s="239">
        <v>0</v>
      </c>
      <c r="AJ575" s="239">
        <v>0</v>
      </c>
    </row>
    <row r="576" spans="1:36" s="81" customFormat="1" ht="32.25" customHeight="1" x14ac:dyDescent="0.3">
      <c r="A576" s="80">
        <v>569</v>
      </c>
      <c r="B576" s="84" t="s">
        <v>196</v>
      </c>
      <c r="D576" s="240" t="s">
        <v>1394</v>
      </c>
      <c r="E576" s="239">
        <v>21</v>
      </c>
      <c r="F576" s="239"/>
      <c r="G576" s="239" t="s">
        <v>245</v>
      </c>
      <c r="H576" s="84" t="s">
        <v>1261</v>
      </c>
      <c r="I576" s="239" t="s">
        <v>886</v>
      </c>
      <c r="J576" s="239" t="s">
        <v>1395</v>
      </c>
      <c r="K576" s="118"/>
      <c r="L576" s="239"/>
      <c r="M576" s="282">
        <v>1950</v>
      </c>
      <c r="N576" s="239" t="s">
        <v>318</v>
      </c>
      <c r="O576" s="239">
        <v>2</v>
      </c>
      <c r="P576" s="239">
        <v>0</v>
      </c>
      <c r="Q576" s="239">
        <v>1</v>
      </c>
      <c r="R576" s="239">
        <v>8</v>
      </c>
      <c r="S576" s="266">
        <f t="shared" si="13"/>
        <v>460.4</v>
      </c>
      <c r="T576" s="267">
        <v>460.4</v>
      </c>
      <c r="U576" s="267">
        <v>369.2</v>
      </c>
      <c r="V576" s="267">
        <v>0</v>
      </c>
      <c r="W576" s="268" t="s">
        <v>218</v>
      </c>
      <c r="X576" s="268" t="s">
        <v>218</v>
      </c>
      <c r="Y576" s="269" t="s">
        <v>219</v>
      </c>
      <c r="Z576" s="270" t="s">
        <v>218</v>
      </c>
      <c r="AA576" s="268" t="s">
        <v>218</v>
      </c>
      <c r="AB576" s="268" t="s">
        <v>218</v>
      </c>
      <c r="AC576" s="269" t="s">
        <v>218</v>
      </c>
      <c r="AD576" s="268" t="s">
        <v>218</v>
      </c>
      <c r="AE576" s="269" t="s">
        <v>219</v>
      </c>
      <c r="AF576" s="268">
        <v>0</v>
      </c>
      <c r="AG576" s="239">
        <v>1</v>
      </c>
      <c r="AH576" s="239"/>
      <c r="AI576" s="239">
        <v>0</v>
      </c>
      <c r="AJ576" s="239">
        <v>1</v>
      </c>
    </row>
    <row r="577" spans="1:36" s="81" customFormat="1" ht="32.25" customHeight="1" x14ac:dyDescent="0.3">
      <c r="A577" s="5">
        <v>570</v>
      </c>
      <c r="B577" s="84" t="s">
        <v>196</v>
      </c>
      <c r="D577" s="240" t="s">
        <v>1394</v>
      </c>
      <c r="E577" s="239">
        <v>23</v>
      </c>
      <c r="F577" s="239"/>
      <c r="G577" s="239" t="s">
        <v>245</v>
      </c>
      <c r="H577" s="84" t="s">
        <v>1262</v>
      </c>
      <c r="I577" s="239" t="s">
        <v>886</v>
      </c>
      <c r="J577" s="239" t="s">
        <v>1360</v>
      </c>
      <c r="K577" s="118"/>
      <c r="L577" s="239"/>
      <c r="M577" s="282">
        <v>1938</v>
      </c>
      <c r="N577" s="239" t="s">
        <v>889</v>
      </c>
      <c r="O577" s="239">
        <v>2</v>
      </c>
      <c r="P577" s="239">
        <v>0</v>
      </c>
      <c r="Q577" s="239">
        <v>1</v>
      </c>
      <c r="R577" s="239">
        <v>8</v>
      </c>
      <c r="S577" s="266">
        <f t="shared" si="13"/>
        <v>658.8</v>
      </c>
      <c r="T577" s="267">
        <v>658.8</v>
      </c>
      <c r="U577" s="267">
        <v>658.8</v>
      </c>
      <c r="V577" s="267">
        <v>0</v>
      </c>
      <c r="W577" s="268" t="s">
        <v>218</v>
      </c>
      <c r="X577" s="268" t="s">
        <v>218</v>
      </c>
      <c r="Y577" s="269" t="s">
        <v>218</v>
      </c>
      <c r="Z577" s="270" t="s">
        <v>218</v>
      </c>
      <c r="AA577" s="268" t="s">
        <v>218</v>
      </c>
      <c r="AB577" s="268" t="s">
        <v>218</v>
      </c>
      <c r="AC577" s="269" t="s">
        <v>219</v>
      </c>
      <c r="AD577" s="268" t="s">
        <v>218</v>
      </c>
      <c r="AE577" s="269" t="s">
        <v>219</v>
      </c>
      <c r="AF577" s="268">
        <v>0</v>
      </c>
      <c r="AG577" s="239">
        <v>1</v>
      </c>
      <c r="AH577" s="239"/>
      <c r="AI577" s="239">
        <v>0</v>
      </c>
      <c r="AJ577" s="239">
        <v>0</v>
      </c>
    </row>
    <row r="578" spans="1:36" s="81" customFormat="1" ht="32.25" customHeight="1" x14ac:dyDescent="0.3">
      <c r="A578" s="80">
        <v>571</v>
      </c>
      <c r="B578" s="84" t="s">
        <v>196</v>
      </c>
      <c r="D578" s="240" t="s">
        <v>1394</v>
      </c>
      <c r="E578" s="239">
        <v>24</v>
      </c>
      <c r="F578" s="239"/>
      <c r="G578" s="239" t="s">
        <v>245</v>
      </c>
      <c r="H578" s="84" t="s">
        <v>1263</v>
      </c>
      <c r="I578" s="239" t="s">
        <v>886</v>
      </c>
      <c r="J578" s="239" t="s">
        <v>318</v>
      </c>
      <c r="K578" s="118" t="s">
        <v>922</v>
      </c>
      <c r="L578" s="239"/>
      <c r="M578" s="282">
        <v>1966</v>
      </c>
      <c r="N578" s="239" t="s">
        <v>318</v>
      </c>
      <c r="O578" s="282">
        <v>5</v>
      </c>
      <c r="P578" s="239">
        <v>0</v>
      </c>
      <c r="Q578" s="282">
        <v>4</v>
      </c>
      <c r="R578" s="239">
        <v>60</v>
      </c>
      <c r="S578" s="266">
        <f t="shared" si="13"/>
        <v>4094.8</v>
      </c>
      <c r="T578" s="267">
        <v>4094.8</v>
      </c>
      <c r="U578" s="267">
        <v>3374.8</v>
      </c>
      <c r="V578" s="267">
        <v>675.8</v>
      </c>
      <c r="W578" s="268" t="s">
        <v>218</v>
      </c>
      <c r="X578" s="268" t="s">
        <v>218</v>
      </c>
      <c r="Y578" s="269" t="s">
        <v>218</v>
      </c>
      <c r="Z578" s="270" t="s">
        <v>218</v>
      </c>
      <c r="AA578" s="268" t="s">
        <v>218</v>
      </c>
      <c r="AB578" s="268" t="s">
        <v>218</v>
      </c>
      <c r="AC578" s="269" t="s">
        <v>219</v>
      </c>
      <c r="AD578" s="268" t="s">
        <v>218</v>
      </c>
      <c r="AE578" s="269" t="s">
        <v>219</v>
      </c>
      <c r="AF578" s="268">
        <v>0</v>
      </c>
      <c r="AG578" s="239">
        <v>1</v>
      </c>
      <c r="AH578" s="239"/>
      <c r="AI578" s="239">
        <v>1</v>
      </c>
      <c r="AJ578" s="239">
        <v>1</v>
      </c>
    </row>
    <row r="579" spans="1:36" s="81" customFormat="1" ht="32.25" customHeight="1" x14ac:dyDescent="0.3">
      <c r="A579" s="5">
        <v>572</v>
      </c>
      <c r="B579" s="84" t="s">
        <v>196</v>
      </c>
      <c r="D579" s="240" t="s">
        <v>1394</v>
      </c>
      <c r="E579" s="239">
        <v>25</v>
      </c>
      <c r="F579" s="239"/>
      <c r="G579" s="239" t="s">
        <v>245</v>
      </c>
      <c r="H579" s="84" t="s">
        <v>1264</v>
      </c>
      <c r="I579" s="239" t="s">
        <v>886</v>
      </c>
      <c r="J579" s="239" t="s">
        <v>887</v>
      </c>
      <c r="K579" s="118"/>
      <c r="L579" s="239"/>
      <c r="M579" s="282">
        <v>1959</v>
      </c>
      <c r="N579" s="239" t="s">
        <v>318</v>
      </c>
      <c r="O579" s="282">
        <v>4</v>
      </c>
      <c r="P579" s="239">
        <v>0</v>
      </c>
      <c r="Q579" s="282">
        <v>3</v>
      </c>
      <c r="R579" s="239">
        <v>44</v>
      </c>
      <c r="S579" s="266">
        <f t="shared" si="13"/>
        <v>2157.6</v>
      </c>
      <c r="T579" s="267">
        <v>2157.6</v>
      </c>
      <c r="U579" s="267">
        <v>2157.6</v>
      </c>
      <c r="V579" s="267">
        <v>0</v>
      </c>
      <c r="W579" s="268" t="s">
        <v>218</v>
      </c>
      <c r="X579" s="268" t="s">
        <v>218</v>
      </c>
      <c r="Y579" s="269" t="s">
        <v>219</v>
      </c>
      <c r="Z579" s="270" t="s">
        <v>218</v>
      </c>
      <c r="AA579" s="268" t="s">
        <v>218</v>
      </c>
      <c r="AB579" s="268" t="s">
        <v>218</v>
      </c>
      <c r="AC579" s="269" t="s">
        <v>218</v>
      </c>
      <c r="AD579" s="268" t="s">
        <v>218</v>
      </c>
      <c r="AE579" s="269" t="s">
        <v>219</v>
      </c>
      <c r="AF579" s="268">
        <v>0</v>
      </c>
      <c r="AG579" s="239">
        <v>1</v>
      </c>
      <c r="AH579" s="239"/>
      <c r="AI579" s="239">
        <v>0</v>
      </c>
      <c r="AJ579" s="239">
        <v>0</v>
      </c>
    </row>
    <row r="580" spans="1:36" s="81" customFormat="1" ht="32.25" customHeight="1" x14ac:dyDescent="0.3">
      <c r="A580" s="80">
        <v>573</v>
      </c>
      <c r="B580" s="84" t="s">
        <v>196</v>
      </c>
      <c r="D580" s="240" t="s">
        <v>1394</v>
      </c>
      <c r="E580" s="239">
        <v>26</v>
      </c>
      <c r="F580" s="239"/>
      <c r="G580" s="239" t="s">
        <v>245</v>
      </c>
      <c r="H580" s="84" t="s">
        <v>1265</v>
      </c>
      <c r="I580" s="239" t="s">
        <v>886</v>
      </c>
      <c r="J580" s="239" t="s">
        <v>1360</v>
      </c>
      <c r="K580" s="118" t="s">
        <v>942</v>
      </c>
      <c r="L580" s="239"/>
      <c r="M580" s="282">
        <v>1969</v>
      </c>
      <c r="N580" s="239" t="s">
        <v>318</v>
      </c>
      <c r="O580" s="282">
        <v>5</v>
      </c>
      <c r="P580" s="239">
        <v>0</v>
      </c>
      <c r="Q580" s="282">
        <v>4</v>
      </c>
      <c r="R580" s="239">
        <v>64</v>
      </c>
      <c r="S580" s="266">
        <f t="shared" si="13"/>
        <v>3525.4</v>
      </c>
      <c r="T580" s="267">
        <v>3525.4</v>
      </c>
      <c r="U580" s="267">
        <v>2778.6</v>
      </c>
      <c r="V580" s="267">
        <v>728.2</v>
      </c>
      <c r="W580" s="268" t="s">
        <v>218</v>
      </c>
      <c r="X580" s="268" t="s">
        <v>218</v>
      </c>
      <c r="Y580" s="269" t="s">
        <v>218</v>
      </c>
      <c r="Z580" s="270" t="s">
        <v>218</v>
      </c>
      <c r="AA580" s="268" t="s">
        <v>218</v>
      </c>
      <c r="AB580" s="268" t="s">
        <v>218</v>
      </c>
      <c r="AC580" s="269" t="s">
        <v>219</v>
      </c>
      <c r="AD580" s="268" t="s">
        <v>218</v>
      </c>
      <c r="AE580" s="269" t="s">
        <v>219</v>
      </c>
      <c r="AF580" s="268">
        <v>0</v>
      </c>
      <c r="AG580" s="239">
        <v>1</v>
      </c>
      <c r="AH580" s="239"/>
      <c r="AI580" s="239">
        <v>1</v>
      </c>
      <c r="AJ580" s="239">
        <v>1</v>
      </c>
    </row>
    <row r="581" spans="1:36" s="81" customFormat="1" ht="32.25" customHeight="1" x14ac:dyDescent="0.3">
      <c r="A581" s="5">
        <v>574</v>
      </c>
      <c r="B581" s="84" t="s">
        <v>196</v>
      </c>
      <c r="D581" s="240" t="s">
        <v>1394</v>
      </c>
      <c r="E581" s="239">
        <v>27</v>
      </c>
      <c r="F581" s="239"/>
      <c r="G581" s="239" t="s">
        <v>245</v>
      </c>
      <c r="H581" s="84" t="s">
        <v>1266</v>
      </c>
      <c r="I581" s="239" t="s">
        <v>886</v>
      </c>
      <c r="J581" s="239" t="s">
        <v>887</v>
      </c>
      <c r="K581" s="118"/>
      <c r="L581" s="239"/>
      <c r="M581" s="282">
        <v>1960</v>
      </c>
      <c r="N581" s="239" t="s">
        <v>318</v>
      </c>
      <c r="O581" s="282">
        <v>4</v>
      </c>
      <c r="P581" s="239">
        <v>0</v>
      </c>
      <c r="Q581" s="282">
        <v>3</v>
      </c>
      <c r="R581" s="239">
        <v>48</v>
      </c>
      <c r="S581" s="266">
        <f t="shared" si="13"/>
        <v>2033.32</v>
      </c>
      <c r="T581" s="267">
        <v>2033.32</v>
      </c>
      <c r="U581" s="267">
        <v>2007.17</v>
      </c>
      <c r="V581" s="267">
        <v>0</v>
      </c>
      <c r="W581" s="268" t="s">
        <v>218</v>
      </c>
      <c r="X581" s="268" t="s">
        <v>218</v>
      </c>
      <c r="Y581" s="269" t="s">
        <v>219</v>
      </c>
      <c r="Z581" s="270" t="s">
        <v>218</v>
      </c>
      <c r="AA581" s="268" t="s">
        <v>218</v>
      </c>
      <c r="AB581" s="268" t="s">
        <v>218</v>
      </c>
      <c r="AC581" s="269" t="s">
        <v>218</v>
      </c>
      <c r="AD581" s="268" t="s">
        <v>218</v>
      </c>
      <c r="AE581" s="269" t="s">
        <v>219</v>
      </c>
      <c r="AF581" s="268">
        <v>0</v>
      </c>
      <c r="AG581" s="239">
        <v>1</v>
      </c>
      <c r="AH581" s="239"/>
      <c r="AI581" s="239">
        <v>0</v>
      </c>
      <c r="AJ581" s="239">
        <v>1</v>
      </c>
    </row>
    <row r="582" spans="1:36" s="81" customFormat="1" ht="32.25" customHeight="1" x14ac:dyDescent="0.3">
      <c r="A582" s="80">
        <v>575</v>
      </c>
      <c r="B582" s="84" t="s">
        <v>196</v>
      </c>
      <c r="D582" s="240" t="s">
        <v>1394</v>
      </c>
      <c r="E582" s="239">
        <v>28</v>
      </c>
      <c r="F582" s="239"/>
      <c r="G582" s="239" t="s">
        <v>245</v>
      </c>
      <c r="H582" s="84" t="s">
        <v>1267</v>
      </c>
      <c r="I582" s="239" t="s">
        <v>886</v>
      </c>
      <c r="J582" s="239" t="s">
        <v>887</v>
      </c>
      <c r="K582" s="118" t="s">
        <v>943</v>
      </c>
      <c r="L582" s="239"/>
      <c r="M582" s="282">
        <v>1966</v>
      </c>
      <c r="N582" s="239" t="s">
        <v>318</v>
      </c>
      <c r="O582" s="282">
        <v>5</v>
      </c>
      <c r="P582" s="239">
        <v>0</v>
      </c>
      <c r="Q582" s="282">
        <v>3</v>
      </c>
      <c r="R582" s="239">
        <v>60</v>
      </c>
      <c r="S582" s="266">
        <f t="shared" si="13"/>
        <v>2487</v>
      </c>
      <c r="T582" s="267">
        <v>2487</v>
      </c>
      <c r="U582" s="267">
        <v>2487</v>
      </c>
      <c r="V582" s="267">
        <v>0</v>
      </c>
      <c r="W582" s="268" t="s">
        <v>218</v>
      </c>
      <c r="X582" s="268" t="s">
        <v>218</v>
      </c>
      <c r="Y582" s="269" t="s">
        <v>219</v>
      </c>
      <c r="Z582" s="270" t="s">
        <v>218</v>
      </c>
      <c r="AA582" s="268" t="s">
        <v>218</v>
      </c>
      <c r="AB582" s="268" t="s">
        <v>218</v>
      </c>
      <c r="AC582" s="269" t="s">
        <v>218</v>
      </c>
      <c r="AD582" s="268" t="s">
        <v>218</v>
      </c>
      <c r="AE582" s="269" t="s">
        <v>219</v>
      </c>
      <c r="AF582" s="268">
        <v>0</v>
      </c>
      <c r="AG582" s="239">
        <v>1</v>
      </c>
      <c r="AH582" s="239"/>
      <c r="AI582" s="239">
        <v>0</v>
      </c>
      <c r="AJ582" s="239">
        <v>1</v>
      </c>
    </row>
    <row r="583" spans="1:36" s="81" customFormat="1" ht="32.25" customHeight="1" x14ac:dyDescent="0.3">
      <c r="A583" s="5">
        <v>576</v>
      </c>
      <c r="B583" s="84" t="s">
        <v>196</v>
      </c>
      <c r="D583" s="240" t="s">
        <v>1394</v>
      </c>
      <c r="E583" s="239">
        <v>29</v>
      </c>
      <c r="F583" s="239"/>
      <c r="G583" s="239" t="s">
        <v>245</v>
      </c>
      <c r="H583" s="84" t="s">
        <v>1268</v>
      </c>
      <c r="I583" s="239" t="s">
        <v>886</v>
      </c>
      <c r="J583" s="239" t="s">
        <v>887</v>
      </c>
      <c r="K583" s="118"/>
      <c r="L583" s="239"/>
      <c r="M583" s="282">
        <v>1959</v>
      </c>
      <c r="N583" s="239" t="s">
        <v>318</v>
      </c>
      <c r="O583" s="239">
        <v>4</v>
      </c>
      <c r="P583" s="239">
        <v>0</v>
      </c>
      <c r="Q583" s="239">
        <v>3</v>
      </c>
      <c r="R583" s="239">
        <v>36</v>
      </c>
      <c r="S583" s="266">
        <f t="shared" si="13"/>
        <v>1986.26</v>
      </c>
      <c r="T583" s="267">
        <v>1986.26</v>
      </c>
      <c r="U583" s="267">
        <v>1960.48</v>
      </c>
      <c r="V583" s="267">
        <v>0</v>
      </c>
      <c r="W583" s="268" t="s">
        <v>218</v>
      </c>
      <c r="X583" s="268" t="s">
        <v>218</v>
      </c>
      <c r="Y583" s="269" t="s">
        <v>219</v>
      </c>
      <c r="Z583" s="270" t="s">
        <v>218</v>
      </c>
      <c r="AA583" s="268" t="s">
        <v>218</v>
      </c>
      <c r="AB583" s="268" t="s">
        <v>218</v>
      </c>
      <c r="AC583" s="269" t="s">
        <v>218</v>
      </c>
      <c r="AD583" s="268" t="s">
        <v>218</v>
      </c>
      <c r="AE583" s="269" t="s">
        <v>219</v>
      </c>
      <c r="AF583" s="268">
        <v>0</v>
      </c>
      <c r="AG583" s="239">
        <v>1</v>
      </c>
      <c r="AH583" s="239"/>
      <c r="AI583" s="239">
        <v>0</v>
      </c>
      <c r="AJ583" s="239">
        <v>1</v>
      </c>
    </row>
    <row r="584" spans="1:36" s="81" customFormat="1" ht="32.25" customHeight="1" x14ac:dyDescent="0.3">
      <c r="A584" s="80">
        <v>577</v>
      </c>
      <c r="B584" s="84" t="s">
        <v>196</v>
      </c>
      <c r="D584" s="240" t="s">
        <v>1394</v>
      </c>
      <c r="E584" s="239">
        <v>3</v>
      </c>
      <c r="F584" s="239"/>
      <c r="G584" s="239" t="s">
        <v>245</v>
      </c>
      <c r="H584" s="84" t="s">
        <v>1269</v>
      </c>
      <c r="I584" s="239" t="s">
        <v>886</v>
      </c>
      <c r="J584" s="239" t="s">
        <v>887</v>
      </c>
      <c r="K584" s="118"/>
      <c r="L584" s="239"/>
      <c r="M584" s="239">
        <v>1958</v>
      </c>
      <c r="N584" s="239" t="s">
        <v>318</v>
      </c>
      <c r="O584" s="239">
        <v>3</v>
      </c>
      <c r="P584" s="239">
        <v>0</v>
      </c>
      <c r="Q584" s="239">
        <v>2</v>
      </c>
      <c r="R584" s="239">
        <v>24</v>
      </c>
      <c r="S584" s="266">
        <f t="shared" si="13"/>
        <v>1284.3</v>
      </c>
      <c r="T584" s="267">
        <v>1284.3</v>
      </c>
      <c r="U584" s="267">
        <v>1163.2</v>
      </c>
      <c r="V584" s="267">
        <v>85.5</v>
      </c>
      <c r="W584" s="268" t="s">
        <v>218</v>
      </c>
      <c r="X584" s="268" t="s">
        <v>218</v>
      </c>
      <c r="Y584" s="269" t="s">
        <v>218</v>
      </c>
      <c r="Z584" s="270" t="s">
        <v>218</v>
      </c>
      <c r="AA584" s="268" t="s">
        <v>218</v>
      </c>
      <c r="AB584" s="268" t="s">
        <v>218</v>
      </c>
      <c r="AC584" s="269" t="s">
        <v>219</v>
      </c>
      <c r="AD584" s="268" t="s">
        <v>218</v>
      </c>
      <c r="AE584" s="269" t="s">
        <v>219</v>
      </c>
      <c r="AF584" s="268">
        <v>0</v>
      </c>
      <c r="AG584" s="239">
        <v>1</v>
      </c>
      <c r="AH584" s="239"/>
      <c r="AI584" s="239">
        <v>1</v>
      </c>
      <c r="AJ584" s="239">
        <v>1</v>
      </c>
    </row>
    <row r="585" spans="1:36" s="81" customFormat="1" ht="32.25" customHeight="1" x14ac:dyDescent="0.3">
      <c r="A585" s="5">
        <v>578</v>
      </c>
      <c r="B585" s="84" t="s">
        <v>196</v>
      </c>
      <c r="D585" s="240" t="s">
        <v>1394</v>
      </c>
      <c r="E585" s="239">
        <v>30</v>
      </c>
      <c r="F585" s="239"/>
      <c r="G585" s="239" t="s">
        <v>245</v>
      </c>
      <c r="H585" s="84" t="s">
        <v>1270</v>
      </c>
      <c r="I585" s="239" t="s">
        <v>886</v>
      </c>
      <c r="J585" s="239" t="s">
        <v>887</v>
      </c>
      <c r="K585" s="118"/>
      <c r="L585" s="239"/>
      <c r="M585" s="239">
        <v>1993</v>
      </c>
      <c r="N585" s="239" t="s">
        <v>318</v>
      </c>
      <c r="O585" s="239">
        <v>5</v>
      </c>
      <c r="P585" s="239">
        <v>0</v>
      </c>
      <c r="Q585" s="239">
        <v>4</v>
      </c>
      <c r="R585" s="239">
        <v>60</v>
      </c>
      <c r="S585" s="266">
        <f t="shared" si="13"/>
        <v>4230</v>
      </c>
      <c r="T585" s="267">
        <v>4230</v>
      </c>
      <c r="U585" s="267">
        <v>3489.2</v>
      </c>
      <c r="V585" s="267">
        <v>0</v>
      </c>
      <c r="W585" s="268" t="s">
        <v>218</v>
      </c>
      <c r="X585" s="268" t="s">
        <v>218</v>
      </c>
      <c r="Y585" s="269" t="s">
        <v>218</v>
      </c>
      <c r="Z585" s="270" t="s">
        <v>218</v>
      </c>
      <c r="AA585" s="268" t="s">
        <v>218</v>
      </c>
      <c r="AB585" s="268" t="s">
        <v>218</v>
      </c>
      <c r="AC585" s="269" t="s">
        <v>219</v>
      </c>
      <c r="AD585" s="268" t="s">
        <v>218</v>
      </c>
      <c r="AE585" s="269" t="s">
        <v>219</v>
      </c>
      <c r="AF585" s="268">
        <v>0</v>
      </c>
      <c r="AG585" s="239">
        <v>1</v>
      </c>
      <c r="AH585" s="239"/>
      <c r="AI585" s="239">
        <v>1</v>
      </c>
      <c r="AJ585" s="239">
        <v>1</v>
      </c>
    </row>
    <row r="586" spans="1:36" s="81" customFormat="1" ht="32.25" customHeight="1" x14ac:dyDescent="0.3">
      <c r="A586" s="80">
        <v>579</v>
      </c>
      <c r="B586" s="84" t="s">
        <v>196</v>
      </c>
      <c r="D586" s="240" t="s">
        <v>1394</v>
      </c>
      <c r="E586" s="239">
        <v>4</v>
      </c>
      <c r="F586" s="239"/>
      <c r="G586" s="239" t="s">
        <v>245</v>
      </c>
      <c r="H586" s="84" t="s">
        <v>1271</v>
      </c>
      <c r="I586" s="239" t="s">
        <v>886</v>
      </c>
      <c r="J586" s="239" t="s">
        <v>887</v>
      </c>
      <c r="K586" s="118" t="s">
        <v>920</v>
      </c>
      <c r="L586" s="239"/>
      <c r="M586" s="239">
        <v>1964</v>
      </c>
      <c r="N586" s="239" t="s">
        <v>889</v>
      </c>
      <c r="O586" s="239">
        <v>5</v>
      </c>
      <c r="P586" s="239">
        <v>0</v>
      </c>
      <c r="Q586" s="239">
        <v>6</v>
      </c>
      <c r="R586" s="239">
        <v>90</v>
      </c>
      <c r="S586" s="266">
        <f t="shared" si="13"/>
        <v>4139.5</v>
      </c>
      <c r="T586" s="267">
        <v>4139.5</v>
      </c>
      <c r="U586" s="267">
        <v>4081.2</v>
      </c>
      <c r="V586" s="267">
        <v>0</v>
      </c>
      <c r="W586" s="268" t="s">
        <v>218</v>
      </c>
      <c r="X586" s="268" t="s">
        <v>218</v>
      </c>
      <c r="Y586" s="269" t="s">
        <v>218</v>
      </c>
      <c r="Z586" s="270" t="s">
        <v>218</v>
      </c>
      <c r="AA586" s="268" t="s">
        <v>218</v>
      </c>
      <c r="AB586" s="268" t="s">
        <v>218</v>
      </c>
      <c r="AC586" s="269" t="s">
        <v>219</v>
      </c>
      <c r="AD586" s="268" t="s">
        <v>218</v>
      </c>
      <c r="AE586" s="269" t="s">
        <v>219</v>
      </c>
      <c r="AF586" s="268">
        <v>0</v>
      </c>
      <c r="AG586" s="239">
        <v>1</v>
      </c>
      <c r="AH586" s="239"/>
      <c r="AI586" s="239">
        <v>1</v>
      </c>
      <c r="AJ586" s="239">
        <v>1</v>
      </c>
    </row>
    <row r="587" spans="1:36" s="81" customFormat="1" ht="32.25" customHeight="1" x14ac:dyDescent="0.3">
      <c r="A587" s="5">
        <v>580</v>
      </c>
      <c r="B587" s="84" t="s">
        <v>196</v>
      </c>
      <c r="D587" s="240" t="s">
        <v>1394</v>
      </c>
      <c r="E587" s="239">
        <v>40</v>
      </c>
      <c r="F587" s="239"/>
      <c r="G587" s="239" t="s">
        <v>245</v>
      </c>
      <c r="H587" s="84" t="s">
        <v>1272</v>
      </c>
      <c r="I587" s="239" t="s">
        <v>886</v>
      </c>
      <c r="J587" s="239" t="s">
        <v>1360</v>
      </c>
      <c r="K587" s="118"/>
      <c r="L587" s="239"/>
      <c r="M587" s="239">
        <v>1959</v>
      </c>
      <c r="N587" s="239" t="s">
        <v>318</v>
      </c>
      <c r="O587" s="239">
        <v>4</v>
      </c>
      <c r="P587" s="239">
        <v>0</v>
      </c>
      <c r="Q587" s="239">
        <v>3</v>
      </c>
      <c r="R587" s="239">
        <v>48</v>
      </c>
      <c r="S587" s="266">
        <f t="shared" si="13"/>
        <v>2519.6</v>
      </c>
      <c r="T587" s="267">
        <v>2519.6</v>
      </c>
      <c r="U587" s="267">
        <v>2006.6</v>
      </c>
      <c r="V587" s="267">
        <v>0</v>
      </c>
      <c r="W587" s="268" t="s">
        <v>218</v>
      </c>
      <c r="X587" s="268" t="s">
        <v>218</v>
      </c>
      <c r="Y587" s="269" t="s">
        <v>219</v>
      </c>
      <c r="Z587" s="270" t="s">
        <v>218</v>
      </c>
      <c r="AA587" s="268" t="s">
        <v>218</v>
      </c>
      <c r="AB587" s="268" t="s">
        <v>218</v>
      </c>
      <c r="AC587" s="269" t="s">
        <v>218</v>
      </c>
      <c r="AD587" s="268" t="s">
        <v>218</v>
      </c>
      <c r="AE587" s="269" t="s">
        <v>219</v>
      </c>
      <c r="AF587" s="268">
        <v>0</v>
      </c>
      <c r="AG587" s="239">
        <v>1</v>
      </c>
      <c r="AH587" s="239"/>
      <c r="AI587" s="239">
        <v>0</v>
      </c>
      <c r="AJ587" s="239">
        <v>0</v>
      </c>
    </row>
    <row r="588" spans="1:36" s="81" customFormat="1" ht="32.25" customHeight="1" x14ac:dyDescent="0.3">
      <c r="A588" s="80">
        <v>581</v>
      </c>
      <c r="B588" s="84" t="s">
        <v>196</v>
      </c>
      <c r="D588" s="240" t="s">
        <v>1394</v>
      </c>
      <c r="E588" s="239">
        <v>5</v>
      </c>
      <c r="F588" s="239"/>
      <c r="G588" s="239" t="s">
        <v>245</v>
      </c>
      <c r="H588" s="84" t="s">
        <v>1273</v>
      </c>
      <c r="I588" s="239" t="s">
        <v>886</v>
      </c>
      <c r="J588" s="239" t="s">
        <v>1360</v>
      </c>
      <c r="K588" s="118" t="s">
        <v>944</v>
      </c>
      <c r="L588" s="239"/>
      <c r="M588" s="239">
        <v>1963</v>
      </c>
      <c r="N588" s="239" t="s">
        <v>889</v>
      </c>
      <c r="O588" s="239">
        <v>5</v>
      </c>
      <c r="P588" s="239">
        <v>0</v>
      </c>
      <c r="Q588" s="239">
        <v>3</v>
      </c>
      <c r="R588" s="239">
        <v>60</v>
      </c>
      <c r="S588" s="266">
        <f t="shared" si="13"/>
        <v>2675.99</v>
      </c>
      <c r="T588" s="267">
        <v>2675.99</v>
      </c>
      <c r="U588" s="267">
        <v>2644.46</v>
      </c>
      <c r="V588" s="267">
        <v>0</v>
      </c>
      <c r="W588" s="268" t="s">
        <v>218</v>
      </c>
      <c r="X588" s="268" t="s">
        <v>218</v>
      </c>
      <c r="Y588" s="269" t="s">
        <v>219</v>
      </c>
      <c r="Z588" s="270" t="s">
        <v>218</v>
      </c>
      <c r="AA588" s="268" t="s">
        <v>218</v>
      </c>
      <c r="AB588" s="268" t="s">
        <v>218</v>
      </c>
      <c r="AC588" s="269" t="s">
        <v>218</v>
      </c>
      <c r="AD588" s="268" t="s">
        <v>218</v>
      </c>
      <c r="AE588" s="269" t="s">
        <v>219</v>
      </c>
      <c r="AF588" s="268">
        <v>0</v>
      </c>
      <c r="AG588" s="239">
        <v>1</v>
      </c>
      <c r="AH588" s="239"/>
      <c r="AI588" s="239">
        <v>0</v>
      </c>
      <c r="AJ588" s="239">
        <v>0</v>
      </c>
    </row>
    <row r="589" spans="1:36" s="81" customFormat="1" ht="32.25" customHeight="1" x14ac:dyDescent="0.3">
      <c r="A589" s="5">
        <v>582</v>
      </c>
      <c r="B589" s="84" t="s">
        <v>196</v>
      </c>
      <c r="D589" s="240" t="s">
        <v>1394</v>
      </c>
      <c r="E589" s="239">
        <v>6</v>
      </c>
      <c r="F589" s="239"/>
      <c r="G589" s="239" t="s">
        <v>245</v>
      </c>
      <c r="H589" s="84" t="s">
        <v>1274</v>
      </c>
      <c r="I589" s="239" t="s">
        <v>886</v>
      </c>
      <c r="J589" s="239" t="s">
        <v>887</v>
      </c>
      <c r="K589" s="118" t="s">
        <v>920</v>
      </c>
      <c r="L589" s="239"/>
      <c r="M589" s="282">
        <v>1964</v>
      </c>
      <c r="N589" s="239" t="s">
        <v>889</v>
      </c>
      <c r="O589" s="282">
        <v>5</v>
      </c>
      <c r="P589" s="239">
        <v>0</v>
      </c>
      <c r="Q589" s="282">
        <v>6</v>
      </c>
      <c r="R589" s="239">
        <v>90</v>
      </c>
      <c r="S589" s="266">
        <f t="shared" si="13"/>
        <v>4153.1000000000004</v>
      </c>
      <c r="T589" s="267">
        <v>4153.1000000000004</v>
      </c>
      <c r="U589" s="267">
        <v>4095.1</v>
      </c>
      <c r="V589" s="267">
        <v>0</v>
      </c>
      <c r="W589" s="268" t="s">
        <v>218</v>
      </c>
      <c r="X589" s="268" t="s">
        <v>218</v>
      </c>
      <c r="Y589" s="269" t="s">
        <v>218</v>
      </c>
      <c r="Z589" s="270" t="s">
        <v>218</v>
      </c>
      <c r="AA589" s="268" t="s">
        <v>218</v>
      </c>
      <c r="AB589" s="268" t="s">
        <v>218</v>
      </c>
      <c r="AC589" s="269" t="s">
        <v>219</v>
      </c>
      <c r="AD589" s="268" t="s">
        <v>218</v>
      </c>
      <c r="AE589" s="269" t="s">
        <v>219</v>
      </c>
      <c r="AF589" s="268">
        <v>0</v>
      </c>
      <c r="AG589" s="239">
        <v>1</v>
      </c>
      <c r="AH589" s="239"/>
      <c r="AI589" s="239">
        <v>1</v>
      </c>
      <c r="AJ589" s="239">
        <v>1</v>
      </c>
    </row>
    <row r="590" spans="1:36" s="81" customFormat="1" ht="32.25" customHeight="1" x14ac:dyDescent="0.3">
      <c r="A590" s="80">
        <v>583</v>
      </c>
      <c r="B590" s="84" t="s">
        <v>196</v>
      </c>
      <c r="D590" s="240" t="s">
        <v>1394</v>
      </c>
      <c r="E590" s="239">
        <v>7</v>
      </c>
      <c r="F590" s="239"/>
      <c r="G590" s="239" t="s">
        <v>245</v>
      </c>
      <c r="H590" s="84" t="s">
        <v>1275</v>
      </c>
      <c r="I590" s="239" t="s">
        <v>886</v>
      </c>
      <c r="J590" s="239" t="s">
        <v>1360</v>
      </c>
      <c r="K590" s="118"/>
      <c r="L590" s="239"/>
      <c r="M590" s="282">
        <v>1959</v>
      </c>
      <c r="N590" s="239" t="s">
        <v>318</v>
      </c>
      <c r="O590" s="282">
        <v>3</v>
      </c>
      <c r="P590" s="239">
        <v>0</v>
      </c>
      <c r="Q590" s="282">
        <v>2</v>
      </c>
      <c r="R590" s="239">
        <v>24</v>
      </c>
      <c r="S590" s="266">
        <f t="shared" si="13"/>
        <v>1230.26</v>
      </c>
      <c r="T590" s="267">
        <v>1230.26</v>
      </c>
      <c r="U590" s="267">
        <v>1173.9100000000001</v>
      </c>
      <c r="V590" s="267">
        <v>0</v>
      </c>
      <c r="W590" s="268" t="s">
        <v>218</v>
      </c>
      <c r="X590" s="268" t="s">
        <v>218</v>
      </c>
      <c r="Y590" s="269" t="s">
        <v>218</v>
      </c>
      <c r="Z590" s="270" t="s">
        <v>218</v>
      </c>
      <c r="AA590" s="268" t="s">
        <v>218</v>
      </c>
      <c r="AB590" s="268" t="s">
        <v>218</v>
      </c>
      <c r="AC590" s="269" t="s">
        <v>219</v>
      </c>
      <c r="AD590" s="268" t="s">
        <v>218</v>
      </c>
      <c r="AE590" s="269" t="s">
        <v>219</v>
      </c>
      <c r="AF590" s="268">
        <v>0</v>
      </c>
      <c r="AG590" s="239">
        <v>1</v>
      </c>
      <c r="AH590" s="239"/>
      <c r="AI590" s="239">
        <v>1</v>
      </c>
      <c r="AJ590" s="239">
        <v>1</v>
      </c>
    </row>
    <row r="591" spans="1:36" s="81" customFormat="1" ht="32.25" customHeight="1" x14ac:dyDescent="0.3">
      <c r="A591" s="5">
        <v>584</v>
      </c>
      <c r="B591" s="84" t="s">
        <v>196</v>
      </c>
      <c r="D591" s="240" t="s">
        <v>1394</v>
      </c>
      <c r="E591" s="239">
        <v>9</v>
      </c>
      <c r="F591" s="239"/>
      <c r="G591" s="239" t="s">
        <v>245</v>
      </c>
      <c r="H591" s="84" t="s">
        <v>1276</v>
      </c>
      <c r="I591" s="239" t="s">
        <v>886</v>
      </c>
      <c r="J591" s="239" t="s">
        <v>1360</v>
      </c>
      <c r="K591" s="118"/>
      <c r="L591" s="239"/>
      <c r="M591" s="282">
        <v>1949</v>
      </c>
      <c r="N591" s="239" t="s">
        <v>318</v>
      </c>
      <c r="O591" s="282">
        <v>2</v>
      </c>
      <c r="P591" s="239">
        <v>0</v>
      </c>
      <c r="Q591" s="282">
        <v>1</v>
      </c>
      <c r="R591" s="239">
        <v>8</v>
      </c>
      <c r="S591" s="266">
        <f t="shared" si="13"/>
        <v>379</v>
      </c>
      <c r="T591" s="267">
        <v>379</v>
      </c>
      <c r="U591" s="267">
        <v>379</v>
      </c>
      <c r="V591" s="267">
        <v>0</v>
      </c>
      <c r="W591" s="268" t="s">
        <v>218</v>
      </c>
      <c r="X591" s="268" t="s">
        <v>218</v>
      </c>
      <c r="Y591" s="269" t="s">
        <v>219</v>
      </c>
      <c r="Z591" s="270" t="s">
        <v>218</v>
      </c>
      <c r="AA591" s="268" t="s">
        <v>218</v>
      </c>
      <c r="AB591" s="268" t="s">
        <v>218</v>
      </c>
      <c r="AC591" s="269" t="s">
        <v>218</v>
      </c>
      <c r="AD591" s="268" t="s">
        <v>218</v>
      </c>
      <c r="AE591" s="269" t="s">
        <v>219</v>
      </c>
      <c r="AF591" s="268">
        <v>0</v>
      </c>
      <c r="AG591" s="239">
        <v>1</v>
      </c>
      <c r="AH591" s="239"/>
      <c r="AI591" s="239">
        <v>0</v>
      </c>
      <c r="AJ591" s="239">
        <v>0</v>
      </c>
    </row>
    <row r="592" spans="1:36" s="81" customFormat="1" ht="32.25" customHeight="1" x14ac:dyDescent="0.3">
      <c r="A592" s="80">
        <v>585</v>
      </c>
      <c r="B592" s="84" t="s">
        <v>196</v>
      </c>
      <c r="D592" s="240" t="s">
        <v>1396</v>
      </c>
      <c r="E592" s="239">
        <v>13</v>
      </c>
      <c r="F592" s="239"/>
      <c r="G592" s="239" t="s">
        <v>245</v>
      </c>
      <c r="H592" s="84" t="s">
        <v>1277</v>
      </c>
      <c r="I592" s="239" t="s">
        <v>886</v>
      </c>
      <c r="J592" s="118" t="s">
        <v>904</v>
      </c>
      <c r="K592" s="118"/>
      <c r="L592" s="239"/>
      <c r="M592" s="282">
        <v>1901</v>
      </c>
      <c r="N592" s="239" t="s">
        <v>318</v>
      </c>
      <c r="O592" s="282">
        <v>5</v>
      </c>
      <c r="P592" s="239">
        <v>0</v>
      </c>
      <c r="Q592" s="282">
        <v>5</v>
      </c>
      <c r="R592" s="239">
        <v>48</v>
      </c>
      <c r="S592" s="266">
        <f t="shared" si="13"/>
        <v>3898.6</v>
      </c>
      <c r="T592" s="267">
        <v>3898.6</v>
      </c>
      <c r="U592" s="267">
        <v>3156.2</v>
      </c>
      <c r="V592" s="267">
        <v>655.4</v>
      </c>
      <c r="W592" s="268" t="s">
        <v>218</v>
      </c>
      <c r="X592" s="268" t="s">
        <v>218</v>
      </c>
      <c r="Y592" s="269" t="s">
        <v>219</v>
      </c>
      <c r="Z592" s="270" t="s">
        <v>218</v>
      </c>
      <c r="AA592" s="268" t="s">
        <v>218</v>
      </c>
      <c r="AB592" s="268" t="s">
        <v>218</v>
      </c>
      <c r="AC592" s="269" t="s">
        <v>218</v>
      </c>
      <c r="AD592" s="268" t="s">
        <v>218</v>
      </c>
      <c r="AE592" s="269" t="s">
        <v>219</v>
      </c>
      <c r="AF592" s="268">
        <v>0</v>
      </c>
      <c r="AG592" s="239">
        <v>1</v>
      </c>
      <c r="AH592" s="239"/>
      <c r="AI592" s="239">
        <v>0</v>
      </c>
      <c r="AJ592" s="239">
        <v>1</v>
      </c>
    </row>
    <row r="593" spans="1:36" s="81" customFormat="1" ht="32.25" customHeight="1" x14ac:dyDescent="0.3">
      <c r="A593" s="5">
        <v>586</v>
      </c>
      <c r="B593" s="84" t="s">
        <v>196</v>
      </c>
      <c r="D593" s="240" t="s">
        <v>1396</v>
      </c>
      <c r="E593" s="239">
        <v>15</v>
      </c>
      <c r="F593" s="239"/>
      <c r="G593" s="239" t="s">
        <v>245</v>
      </c>
      <c r="H593" s="84" t="s">
        <v>1278</v>
      </c>
      <c r="I593" s="239" t="s">
        <v>886</v>
      </c>
      <c r="J593" s="118" t="s">
        <v>904</v>
      </c>
      <c r="K593" s="118" t="s">
        <v>945</v>
      </c>
      <c r="L593" s="239"/>
      <c r="M593" s="282">
        <v>1902</v>
      </c>
      <c r="N593" s="239" t="s">
        <v>318</v>
      </c>
      <c r="O593" s="282">
        <v>5</v>
      </c>
      <c r="P593" s="239">
        <v>0</v>
      </c>
      <c r="Q593" s="282">
        <v>2</v>
      </c>
      <c r="R593" s="239">
        <v>24</v>
      </c>
      <c r="S593" s="266">
        <f t="shared" si="13"/>
        <v>1334.2</v>
      </c>
      <c r="T593" s="267">
        <v>1334.2</v>
      </c>
      <c r="U593" s="267">
        <v>1005.8</v>
      </c>
      <c r="V593" s="267">
        <v>226.8</v>
      </c>
      <c r="W593" s="268" t="s">
        <v>218</v>
      </c>
      <c r="X593" s="268" t="s">
        <v>218</v>
      </c>
      <c r="Y593" s="269" t="s">
        <v>219</v>
      </c>
      <c r="Z593" s="270" t="s">
        <v>218</v>
      </c>
      <c r="AA593" s="268" t="s">
        <v>218</v>
      </c>
      <c r="AB593" s="268" t="s">
        <v>218</v>
      </c>
      <c r="AC593" s="269" t="s">
        <v>218</v>
      </c>
      <c r="AD593" s="268" t="s">
        <v>218</v>
      </c>
      <c r="AE593" s="269" t="s">
        <v>219</v>
      </c>
      <c r="AF593" s="268">
        <v>0</v>
      </c>
      <c r="AG593" s="239">
        <v>1</v>
      </c>
      <c r="AH593" s="239"/>
      <c r="AI593" s="239">
        <v>0</v>
      </c>
      <c r="AJ593" s="239">
        <v>1</v>
      </c>
    </row>
    <row r="594" spans="1:36" s="81" customFormat="1" ht="32.25" customHeight="1" x14ac:dyDescent="0.3">
      <c r="A594" s="80">
        <v>587</v>
      </c>
      <c r="B594" s="84" t="s">
        <v>196</v>
      </c>
      <c r="D594" s="240" t="s">
        <v>1396</v>
      </c>
      <c r="E594" s="239">
        <v>20</v>
      </c>
      <c r="F594" s="239"/>
      <c r="G594" s="239" t="s">
        <v>245</v>
      </c>
      <c r="H594" s="84" t="s">
        <v>1279</v>
      </c>
      <c r="I594" s="239" t="s">
        <v>886</v>
      </c>
      <c r="J594" s="239" t="s">
        <v>887</v>
      </c>
      <c r="K594" s="118"/>
      <c r="L594" s="239"/>
      <c r="M594" s="282">
        <v>1900</v>
      </c>
      <c r="N594" s="239" t="s">
        <v>318</v>
      </c>
      <c r="O594" s="282">
        <v>5</v>
      </c>
      <c r="P594" s="239">
        <v>0</v>
      </c>
      <c r="Q594" s="282">
        <v>3</v>
      </c>
      <c r="R594" s="239">
        <v>15</v>
      </c>
      <c r="S594" s="266">
        <f t="shared" si="13"/>
        <v>1431.1</v>
      </c>
      <c r="T594" s="267">
        <v>1431.1</v>
      </c>
      <c r="U594" s="267">
        <v>1277.8</v>
      </c>
      <c r="V594" s="267">
        <v>142</v>
      </c>
      <c r="W594" s="268" t="s">
        <v>218</v>
      </c>
      <c r="X594" s="268" t="s">
        <v>218</v>
      </c>
      <c r="Y594" s="269" t="s">
        <v>219</v>
      </c>
      <c r="Z594" s="270" t="s">
        <v>218</v>
      </c>
      <c r="AA594" s="268" t="s">
        <v>218</v>
      </c>
      <c r="AB594" s="268" t="s">
        <v>218</v>
      </c>
      <c r="AC594" s="269" t="s">
        <v>218</v>
      </c>
      <c r="AD594" s="268" t="s">
        <v>218</v>
      </c>
      <c r="AE594" s="269" t="s">
        <v>219</v>
      </c>
      <c r="AF594" s="268">
        <v>0</v>
      </c>
      <c r="AG594" s="239">
        <v>1</v>
      </c>
      <c r="AH594" s="239"/>
      <c r="AI594" s="239">
        <v>0</v>
      </c>
      <c r="AJ594" s="239">
        <v>1</v>
      </c>
    </row>
    <row r="595" spans="1:36" s="81" customFormat="1" ht="32.25" customHeight="1" x14ac:dyDescent="0.3">
      <c r="A595" s="5">
        <v>588</v>
      </c>
      <c r="B595" s="84" t="s">
        <v>196</v>
      </c>
      <c r="D595" s="240" t="s">
        <v>1396</v>
      </c>
      <c r="E595" s="239">
        <v>25</v>
      </c>
      <c r="F595" s="239"/>
      <c r="G595" s="239" t="s">
        <v>245</v>
      </c>
      <c r="H595" s="84" t="s">
        <v>1280</v>
      </c>
      <c r="I595" s="239" t="s">
        <v>886</v>
      </c>
      <c r="J595" s="118" t="s">
        <v>904</v>
      </c>
      <c r="K595" s="118"/>
      <c r="L595" s="118"/>
      <c r="M595" s="282">
        <v>1903</v>
      </c>
      <c r="N595" s="239" t="s">
        <v>318</v>
      </c>
      <c r="O595" s="282">
        <v>3</v>
      </c>
      <c r="P595" s="239">
        <v>0</v>
      </c>
      <c r="Q595" s="282">
        <v>0</v>
      </c>
      <c r="R595" s="239">
        <v>8</v>
      </c>
      <c r="S595" s="266">
        <f t="shared" si="13"/>
        <v>1104.5</v>
      </c>
      <c r="T595" s="267">
        <v>1104.5</v>
      </c>
      <c r="U595" s="267">
        <v>471.3</v>
      </c>
      <c r="V595" s="267">
        <v>378</v>
      </c>
      <c r="W595" s="268" t="s">
        <v>218</v>
      </c>
      <c r="X595" s="268" t="s">
        <v>218</v>
      </c>
      <c r="Y595" s="269" t="s">
        <v>218</v>
      </c>
      <c r="Z595" s="270" t="s">
        <v>218</v>
      </c>
      <c r="AA595" s="268" t="s">
        <v>218</v>
      </c>
      <c r="AB595" s="268" t="s">
        <v>218</v>
      </c>
      <c r="AC595" s="269" t="s">
        <v>219</v>
      </c>
      <c r="AD595" s="268" t="s">
        <v>218</v>
      </c>
      <c r="AE595" s="269" t="s">
        <v>219</v>
      </c>
      <c r="AF595" s="268">
        <v>0</v>
      </c>
      <c r="AG595" s="239">
        <v>1</v>
      </c>
      <c r="AH595" s="239"/>
      <c r="AI595" s="239">
        <v>1</v>
      </c>
      <c r="AJ595" s="239">
        <v>1</v>
      </c>
    </row>
    <row r="596" spans="1:36" s="81" customFormat="1" ht="32.25" customHeight="1" x14ac:dyDescent="0.3">
      <c r="A596" s="80">
        <v>589</v>
      </c>
      <c r="B596" s="84" t="s">
        <v>196</v>
      </c>
      <c r="D596" s="240" t="s">
        <v>1396</v>
      </c>
      <c r="E596" s="239">
        <v>26</v>
      </c>
      <c r="F596" s="239"/>
      <c r="G596" s="239" t="s">
        <v>245</v>
      </c>
      <c r="H596" s="84" t="s">
        <v>1281</v>
      </c>
      <c r="I596" s="239" t="s">
        <v>886</v>
      </c>
      <c r="J596" s="239" t="s">
        <v>887</v>
      </c>
      <c r="K596" s="118"/>
      <c r="L596" s="239"/>
      <c r="M596" s="282">
        <v>1912</v>
      </c>
      <c r="N596" s="239" t="s">
        <v>318</v>
      </c>
      <c r="O596" s="282">
        <v>6</v>
      </c>
      <c r="P596" s="239">
        <v>0</v>
      </c>
      <c r="Q596" s="282">
        <v>1</v>
      </c>
      <c r="R596" s="239">
        <v>11</v>
      </c>
      <c r="S596" s="266">
        <f t="shared" si="13"/>
        <v>1317.1</v>
      </c>
      <c r="T596" s="267">
        <v>1317.1</v>
      </c>
      <c r="U596" s="267">
        <v>1083.3</v>
      </c>
      <c r="V596" s="267">
        <v>47</v>
      </c>
      <c r="W596" s="268" t="s">
        <v>218</v>
      </c>
      <c r="X596" s="268" t="s">
        <v>218</v>
      </c>
      <c r="Y596" s="269" t="s">
        <v>219</v>
      </c>
      <c r="Z596" s="270" t="s">
        <v>218</v>
      </c>
      <c r="AA596" s="268" t="s">
        <v>218</v>
      </c>
      <c r="AB596" s="268" t="s">
        <v>218</v>
      </c>
      <c r="AC596" s="269" t="s">
        <v>218</v>
      </c>
      <c r="AD596" s="268" t="s">
        <v>218</v>
      </c>
      <c r="AE596" s="269" t="s">
        <v>219</v>
      </c>
      <c r="AF596" s="268">
        <v>1</v>
      </c>
      <c r="AG596" s="239">
        <v>1</v>
      </c>
      <c r="AH596" s="239"/>
      <c r="AI596" s="239">
        <v>0</v>
      </c>
      <c r="AJ596" s="239">
        <v>1</v>
      </c>
    </row>
    <row r="597" spans="1:36" s="81" customFormat="1" ht="32.25" customHeight="1" x14ac:dyDescent="0.3">
      <c r="A597" s="5">
        <v>590</v>
      </c>
      <c r="B597" s="84" t="s">
        <v>196</v>
      </c>
      <c r="D597" s="240" t="s">
        <v>1396</v>
      </c>
      <c r="E597" s="239">
        <v>26</v>
      </c>
      <c r="F597" s="239"/>
      <c r="G597" s="239" t="s">
        <v>1356</v>
      </c>
      <c r="H597" s="84" t="s">
        <v>1282</v>
      </c>
      <c r="I597" s="239" t="s">
        <v>886</v>
      </c>
      <c r="J597" s="239" t="s">
        <v>887</v>
      </c>
      <c r="K597" s="118"/>
      <c r="L597" s="239"/>
      <c r="M597" s="282">
        <v>1913</v>
      </c>
      <c r="N597" s="239" t="s">
        <v>318</v>
      </c>
      <c r="O597" s="282">
        <v>6</v>
      </c>
      <c r="P597" s="239">
        <v>0</v>
      </c>
      <c r="Q597" s="282">
        <v>1</v>
      </c>
      <c r="R597" s="239">
        <v>16</v>
      </c>
      <c r="S597" s="266">
        <f t="shared" si="13"/>
        <v>1098.0999999999999</v>
      </c>
      <c r="T597" s="267">
        <v>1098.0999999999999</v>
      </c>
      <c r="U597" s="267">
        <v>945</v>
      </c>
      <c r="V597" s="267">
        <v>153.1</v>
      </c>
      <c r="W597" s="268" t="s">
        <v>218</v>
      </c>
      <c r="X597" s="268" t="s">
        <v>218</v>
      </c>
      <c r="Y597" s="269" t="s">
        <v>219</v>
      </c>
      <c r="Z597" s="270" t="s">
        <v>218</v>
      </c>
      <c r="AA597" s="268" t="s">
        <v>218</v>
      </c>
      <c r="AB597" s="268" t="s">
        <v>218</v>
      </c>
      <c r="AC597" s="269" t="s">
        <v>218</v>
      </c>
      <c r="AD597" s="268" t="s">
        <v>218</v>
      </c>
      <c r="AE597" s="269" t="s">
        <v>219</v>
      </c>
      <c r="AF597" s="268">
        <v>0</v>
      </c>
      <c r="AG597" s="239">
        <v>1</v>
      </c>
      <c r="AH597" s="239"/>
      <c r="AI597" s="239">
        <v>0</v>
      </c>
      <c r="AJ597" s="239">
        <v>1</v>
      </c>
    </row>
    <row r="598" spans="1:36" s="81" customFormat="1" ht="32.25" customHeight="1" x14ac:dyDescent="0.3">
      <c r="A598" s="80">
        <v>591</v>
      </c>
      <c r="B598" s="84" t="s">
        <v>196</v>
      </c>
      <c r="D598" s="240" t="s">
        <v>1396</v>
      </c>
      <c r="E598" s="239">
        <v>30</v>
      </c>
      <c r="F598" s="239"/>
      <c r="G598" s="239" t="s">
        <v>245</v>
      </c>
      <c r="H598" s="84" t="s">
        <v>1283</v>
      </c>
      <c r="I598" s="239" t="s">
        <v>886</v>
      </c>
      <c r="J598" s="118" t="s">
        <v>904</v>
      </c>
      <c r="K598" s="118" t="s">
        <v>927</v>
      </c>
      <c r="L598" s="239"/>
      <c r="M598" s="282">
        <v>1917</v>
      </c>
      <c r="N598" s="239" t="s">
        <v>318</v>
      </c>
      <c r="O598" s="239">
        <v>4</v>
      </c>
      <c r="P598" s="239">
        <v>0</v>
      </c>
      <c r="Q598" s="239">
        <v>2</v>
      </c>
      <c r="R598" s="239">
        <v>23</v>
      </c>
      <c r="S598" s="266">
        <f t="shared" si="13"/>
        <v>988.5</v>
      </c>
      <c r="T598" s="267">
        <v>988.5</v>
      </c>
      <c r="U598" s="267">
        <v>870.9</v>
      </c>
      <c r="V598" s="267">
        <v>0</v>
      </c>
      <c r="W598" s="268" t="s">
        <v>218</v>
      </c>
      <c r="X598" s="268" t="s">
        <v>218</v>
      </c>
      <c r="Y598" s="269" t="s">
        <v>219</v>
      </c>
      <c r="Z598" s="270" t="s">
        <v>218</v>
      </c>
      <c r="AA598" s="268" t="s">
        <v>218</v>
      </c>
      <c r="AB598" s="268" t="s">
        <v>218</v>
      </c>
      <c r="AC598" s="269" t="s">
        <v>218</v>
      </c>
      <c r="AD598" s="268" t="s">
        <v>218</v>
      </c>
      <c r="AE598" s="269" t="s">
        <v>219</v>
      </c>
      <c r="AF598" s="268">
        <v>0</v>
      </c>
      <c r="AG598" s="239"/>
      <c r="AH598" s="239"/>
      <c r="AI598" s="239">
        <v>0</v>
      </c>
      <c r="AJ598" s="239">
        <v>0</v>
      </c>
    </row>
    <row r="599" spans="1:36" s="81" customFormat="1" ht="32.25" customHeight="1" x14ac:dyDescent="0.3">
      <c r="A599" s="5">
        <v>592</v>
      </c>
      <c r="B599" s="84" t="s">
        <v>196</v>
      </c>
      <c r="D599" s="240" t="s">
        <v>1396</v>
      </c>
      <c r="E599" s="239">
        <v>33</v>
      </c>
      <c r="F599" s="239"/>
      <c r="G599" s="239" t="s">
        <v>245</v>
      </c>
      <c r="H599" s="84" t="s">
        <v>1284</v>
      </c>
      <c r="I599" s="239" t="s">
        <v>886</v>
      </c>
      <c r="J599" s="239" t="s">
        <v>318</v>
      </c>
      <c r="K599" s="118" t="s">
        <v>922</v>
      </c>
      <c r="L599" s="239"/>
      <c r="M599" s="282">
        <v>1992</v>
      </c>
      <c r="N599" s="239" t="s">
        <v>318</v>
      </c>
      <c r="O599" s="282">
        <v>6</v>
      </c>
      <c r="P599" s="239">
        <v>0</v>
      </c>
      <c r="Q599" s="282">
        <v>2</v>
      </c>
      <c r="R599" s="239">
        <v>55</v>
      </c>
      <c r="S599" s="266">
        <f t="shared" si="13"/>
        <v>4677.1000000000004</v>
      </c>
      <c r="T599" s="267">
        <v>4677.1000000000004</v>
      </c>
      <c r="U599" s="267">
        <v>2730.3</v>
      </c>
      <c r="V599" s="267">
        <v>766.2</v>
      </c>
      <c r="W599" s="268" t="s">
        <v>218</v>
      </c>
      <c r="X599" s="268" t="s">
        <v>218</v>
      </c>
      <c r="Y599" s="269" t="s">
        <v>218</v>
      </c>
      <c r="Z599" s="270" t="s">
        <v>218</v>
      </c>
      <c r="AA599" s="268" t="s">
        <v>218</v>
      </c>
      <c r="AB599" s="268" t="s">
        <v>218</v>
      </c>
      <c r="AC599" s="269" t="s">
        <v>219</v>
      </c>
      <c r="AD599" s="268" t="s">
        <v>218</v>
      </c>
      <c r="AE599" s="269" t="s">
        <v>219</v>
      </c>
      <c r="AF599" s="268">
        <v>2</v>
      </c>
      <c r="AG599" s="239">
        <v>1</v>
      </c>
      <c r="AH599" s="239"/>
      <c r="AI599" s="239">
        <v>1</v>
      </c>
      <c r="AJ599" s="239">
        <v>1</v>
      </c>
    </row>
    <row r="600" spans="1:36" s="81" customFormat="1" ht="32.25" customHeight="1" x14ac:dyDescent="0.3">
      <c r="A600" s="80">
        <v>593</v>
      </c>
      <c r="B600" s="84" t="s">
        <v>196</v>
      </c>
      <c r="D600" s="240" t="s">
        <v>1396</v>
      </c>
      <c r="E600" s="239">
        <v>35</v>
      </c>
      <c r="F600" s="239"/>
      <c r="G600" s="239" t="s">
        <v>245</v>
      </c>
      <c r="H600" s="84" t="s">
        <v>1285</v>
      </c>
      <c r="I600" s="239" t="s">
        <v>886</v>
      </c>
      <c r="J600" s="239" t="s">
        <v>1360</v>
      </c>
      <c r="K600" s="118"/>
      <c r="L600" s="239"/>
      <c r="M600" s="282">
        <v>1905</v>
      </c>
      <c r="N600" s="239" t="s">
        <v>318</v>
      </c>
      <c r="O600" s="282">
        <v>4</v>
      </c>
      <c r="P600" s="239">
        <v>0</v>
      </c>
      <c r="Q600" s="282">
        <v>3</v>
      </c>
      <c r="R600" s="239">
        <v>23</v>
      </c>
      <c r="S600" s="266">
        <f t="shared" ref="S600:S654" si="14">T600</f>
        <v>3830</v>
      </c>
      <c r="T600" s="267">
        <v>3830</v>
      </c>
      <c r="U600" s="267">
        <v>1791.2</v>
      </c>
      <c r="V600" s="267">
        <v>2025.8</v>
      </c>
      <c r="W600" s="268" t="s">
        <v>218</v>
      </c>
      <c r="X600" s="268" t="s">
        <v>218</v>
      </c>
      <c r="Y600" s="269" t="s">
        <v>219</v>
      </c>
      <c r="Z600" s="270" t="s">
        <v>218</v>
      </c>
      <c r="AA600" s="268" t="s">
        <v>218</v>
      </c>
      <c r="AB600" s="268" t="s">
        <v>218</v>
      </c>
      <c r="AC600" s="269" t="s">
        <v>218</v>
      </c>
      <c r="AD600" s="268" t="s">
        <v>218</v>
      </c>
      <c r="AE600" s="269" t="s">
        <v>219</v>
      </c>
      <c r="AF600" s="268">
        <v>0</v>
      </c>
      <c r="AG600" s="239">
        <v>1</v>
      </c>
      <c r="AH600" s="239"/>
      <c r="AI600" s="239">
        <v>0</v>
      </c>
      <c r="AJ600" s="239">
        <v>1</v>
      </c>
    </row>
    <row r="601" spans="1:36" s="81" customFormat="1" ht="32.25" customHeight="1" x14ac:dyDescent="0.3">
      <c r="A601" s="5">
        <v>594</v>
      </c>
      <c r="B601" s="84" t="s">
        <v>196</v>
      </c>
      <c r="D601" s="240" t="s">
        <v>1396</v>
      </c>
      <c r="E601" s="385" t="s">
        <v>1397</v>
      </c>
      <c r="F601" s="239"/>
      <c r="G601" s="239" t="s">
        <v>245</v>
      </c>
      <c r="H601" s="84" t="s">
        <v>1286</v>
      </c>
      <c r="I601" s="239" t="s">
        <v>886</v>
      </c>
      <c r="J601" s="239" t="s">
        <v>887</v>
      </c>
      <c r="K601" s="118"/>
      <c r="L601" s="239"/>
      <c r="M601" s="239">
        <v>1936</v>
      </c>
      <c r="N601" s="239" t="s">
        <v>318</v>
      </c>
      <c r="O601" s="239">
        <v>6</v>
      </c>
      <c r="P601" s="239">
        <v>0</v>
      </c>
      <c r="Q601" s="239">
        <v>3</v>
      </c>
      <c r="R601" s="239">
        <v>33</v>
      </c>
      <c r="S601" s="266">
        <f t="shared" si="14"/>
        <v>2516.3000000000002</v>
      </c>
      <c r="T601" s="267">
        <v>2516.3000000000002</v>
      </c>
      <c r="U601" s="267">
        <v>2159.4</v>
      </c>
      <c r="V601" s="267">
        <v>223.89999999999998</v>
      </c>
      <c r="W601" s="268" t="s">
        <v>218</v>
      </c>
      <c r="X601" s="268" t="s">
        <v>218</v>
      </c>
      <c r="Y601" s="269" t="s">
        <v>219</v>
      </c>
      <c r="Z601" s="270" t="s">
        <v>218</v>
      </c>
      <c r="AA601" s="268" t="s">
        <v>218</v>
      </c>
      <c r="AB601" s="268" t="s">
        <v>218</v>
      </c>
      <c r="AC601" s="269" t="s">
        <v>218</v>
      </c>
      <c r="AD601" s="268" t="s">
        <v>218</v>
      </c>
      <c r="AE601" s="269" t="s">
        <v>219</v>
      </c>
      <c r="AF601" s="268">
        <v>3</v>
      </c>
      <c r="AG601" s="239">
        <v>2</v>
      </c>
      <c r="AH601" s="239"/>
      <c r="AI601" s="239">
        <v>0</v>
      </c>
      <c r="AJ601" s="239">
        <v>1</v>
      </c>
    </row>
    <row r="602" spans="1:36" s="81" customFormat="1" ht="32.25" customHeight="1" x14ac:dyDescent="0.3">
      <c r="A602" s="80">
        <v>595</v>
      </c>
      <c r="B602" s="84" t="s">
        <v>196</v>
      </c>
      <c r="D602" s="240" t="s">
        <v>1396</v>
      </c>
      <c r="E602" s="239">
        <v>36</v>
      </c>
      <c r="F602" s="239"/>
      <c r="G602" s="239" t="s">
        <v>245</v>
      </c>
      <c r="H602" s="84" t="s">
        <v>1287</v>
      </c>
      <c r="I602" s="239" t="s">
        <v>886</v>
      </c>
      <c r="J602" s="239" t="s">
        <v>887</v>
      </c>
      <c r="K602" s="118"/>
      <c r="L602" s="239"/>
      <c r="M602" s="282">
        <v>1885</v>
      </c>
      <c r="N602" s="239" t="s">
        <v>318</v>
      </c>
      <c r="O602" s="239">
        <v>4</v>
      </c>
      <c r="P602" s="239">
        <v>0</v>
      </c>
      <c r="Q602" s="239">
        <v>1</v>
      </c>
      <c r="R602" s="239">
        <v>12</v>
      </c>
      <c r="S602" s="266">
        <f t="shared" si="14"/>
        <v>1235.4000000000001</v>
      </c>
      <c r="T602" s="267">
        <v>1235.4000000000001</v>
      </c>
      <c r="U602" s="267">
        <v>1064.2</v>
      </c>
      <c r="V602" s="267">
        <v>171.2</v>
      </c>
      <c r="W602" s="268" t="s">
        <v>218</v>
      </c>
      <c r="X602" s="268" t="s">
        <v>218</v>
      </c>
      <c r="Y602" s="269" t="s">
        <v>219</v>
      </c>
      <c r="Z602" s="270" t="s">
        <v>218</v>
      </c>
      <c r="AA602" s="268" t="s">
        <v>218</v>
      </c>
      <c r="AB602" s="268" t="s">
        <v>218</v>
      </c>
      <c r="AC602" s="269" t="s">
        <v>218</v>
      </c>
      <c r="AD602" s="268" t="s">
        <v>218</v>
      </c>
      <c r="AE602" s="269" t="s">
        <v>219</v>
      </c>
      <c r="AF602" s="268">
        <v>0</v>
      </c>
      <c r="AG602" s="239">
        <v>1</v>
      </c>
      <c r="AH602" s="239"/>
      <c r="AI602" s="239">
        <v>0</v>
      </c>
      <c r="AJ602" s="239">
        <v>1</v>
      </c>
    </row>
    <row r="603" spans="1:36" s="81" customFormat="1" ht="32.25" customHeight="1" x14ac:dyDescent="0.3">
      <c r="A603" s="5">
        <v>596</v>
      </c>
      <c r="B603" s="84" t="s">
        <v>196</v>
      </c>
      <c r="D603" s="240" t="s">
        <v>1396</v>
      </c>
      <c r="E603" s="239">
        <v>39</v>
      </c>
      <c r="F603" s="239"/>
      <c r="G603" s="239" t="s">
        <v>245</v>
      </c>
      <c r="H603" s="84" t="s">
        <v>1288</v>
      </c>
      <c r="I603" s="239" t="s">
        <v>886</v>
      </c>
      <c r="J603" s="239" t="s">
        <v>1360</v>
      </c>
      <c r="K603" s="118"/>
      <c r="L603" s="239"/>
      <c r="M603" s="282">
        <v>1900</v>
      </c>
      <c r="N603" s="239" t="s">
        <v>318</v>
      </c>
      <c r="O603" s="239">
        <v>4</v>
      </c>
      <c r="P603" s="239">
        <v>0</v>
      </c>
      <c r="Q603" s="239">
        <v>1</v>
      </c>
      <c r="R603" s="239">
        <v>13</v>
      </c>
      <c r="S603" s="266">
        <f t="shared" si="14"/>
        <v>703.5</v>
      </c>
      <c r="T603" s="267">
        <v>703.5</v>
      </c>
      <c r="U603" s="267">
        <v>703.5</v>
      </c>
      <c r="V603" s="267">
        <v>0</v>
      </c>
      <c r="W603" s="268" t="s">
        <v>218</v>
      </c>
      <c r="X603" s="268" t="s">
        <v>218</v>
      </c>
      <c r="Y603" s="269" t="s">
        <v>219</v>
      </c>
      <c r="Z603" s="270" t="s">
        <v>218</v>
      </c>
      <c r="AA603" s="268" t="s">
        <v>218</v>
      </c>
      <c r="AB603" s="268" t="s">
        <v>218</v>
      </c>
      <c r="AC603" s="269" t="s">
        <v>218</v>
      </c>
      <c r="AD603" s="268" t="s">
        <v>218</v>
      </c>
      <c r="AE603" s="269" t="s">
        <v>219</v>
      </c>
      <c r="AF603" s="268">
        <v>0</v>
      </c>
      <c r="AG603" s="239">
        <v>1</v>
      </c>
      <c r="AH603" s="239"/>
      <c r="AI603" s="239">
        <v>0</v>
      </c>
      <c r="AJ603" s="239">
        <v>1</v>
      </c>
    </row>
    <row r="604" spans="1:36" s="81" customFormat="1" ht="32.25" customHeight="1" x14ac:dyDescent="0.3">
      <c r="A604" s="80">
        <v>597</v>
      </c>
      <c r="B604" s="84" t="s">
        <v>196</v>
      </c>
      <c r="D604" s="240" t="s">
        <v>1396</v>
      </c>
      <c r="E604" s="239">
        <v>4</v>
      </c>
      <c r="F604" s="239"/>
      <c r="G604" s="239" t="s">
        <v>245</v>
      </c>
      <c r="H604" s="84" t="s">
        <v>1289</v>
      </c>
      <c r="I604" s="239" t="s">
        <v>886</v>
      </c>
      <c r="J604" s="118" t="s">
        <v>904</v>
      </c>
      <c r="K604" s="118"/>
      <c r="L604" s="118"/>
      <c r="M604" s="239">
        <v>1917</v>
      </c>
      <c r="N604" s="239" t="s">
        <v>318</v>
      </c>
      <c r="O604" s="239">
        <v>5</v>
      </c>
      <c r="P604" s="239">
        <v>0</v>
      </c>
      <c r="Q604" s="239">
        <v>1</v>
      </c>
      <c r="R604" s="239">
        <v>15</v>
      </c>
      <c r="S604" s="266">
        <f t="shared" si="14"/>
        <v>924</v>
      </c>
      <c r="T604" s="267">
        <v>924</v>
      </c>
      <c r="U604" s="267">
        <v>823.1</v>
      </c>
      <c r="V604" s="267">
        <v>100.9</v>
      </c>
      <c r="W604" s="268" t="s">
        <v>218</v>
      </c>
      <c r="X604" s="268" t="s">
        <v>218</v>
      </c>
      <c r="Y604" s="269" t="s">
        <v>219</v>
      </c>
      <c r="Z604" s="270" t="s">
        <v>218</v>
      </c>
      <c r="AA604" s="268" t="s">
        <v>218</v>
      </c>
      <c r="AB604" s="268" t="s">
        <v>218</v>
      </c>
      <c r="AC604" s="269" t="s">
        <v>218</v>
      </c>
      <c r="AD604" s="268" t="s">
        <v>218</v>
      </c>
      <c r="AE604" s="269" t="s">
        <v>219</v>
      </c>
      <c r="AF604" s="268">
        <v>1</v>
      </c>
      <c r="AG604" s="239">
        <v>2</v>
      </c>
      <c r="AH604" s="239"/>
      <c r="AI604" s="239">
        <v>0</v>
      </c>
      <c r="AJ604" s="239">
        <v>0</v>
      </c>
    </row>
    <row r="605" spans="1:36" s="81" customFormat="1" ht="32.25" customHeight="1" x14ac:dyDescent="0.3">
      <c r="A605" s="5">
        <v>598</v>
      </c>
      <c r="B605" s="84" t="s">
        <v>196</v>
      </c>
      <c r="D605" s="240" t="s">
        <v>1396</v>
      </c>
      <c r="E605" s="239">
        <v>40</v>
      </c>
      <c r="F605" s="239"/>
      <c r="G605" s="239" t="s">
        <v>245</v>
      </c>
      <c r="H605" s="84" t="s">
        <v>1290</v>
      </c>
      <c r="I605" s="239" t="s">
        <v>886</v>
      </c>
      <c r="J605" s="118" t="s">
        <v>216</v>
      </c>
      <c r="K605" s="118"/>
      <c r="L605" s="118"/>
      <c r="M605" s="282">
        <v>1962</v>
      </c>
      <c r="N605" s="239" t="s">
        <v>318</v>
      </c>
      <c r="O605" s="239">
        <v>5</v>
      </c>
      <c r="P605" s="239">
        <v>0</v>
      </c>
      <c r="Q605" s="282">
        <v>3</v>
      </c>
      <c r="R605" s="239">
        <v>60</v>
      </c>
      <c r="S605" s="266">
        <f t="shared" si="14"/>
        <v>2540.1999999999998</v>
      </c>
      <c r="T605" s="267">
        <v>2540.1999999999998</v>
      </c>
      <c r="U605" s="267">
        <v>2501.4</v>
      </c>
      <c r="V605" s="267">
        <v>0</v>
      </c>
      <c r="W605" s="268" t="s">
        <v>218</v>
      </c>
      <c r="X605" s="268" t="s">
        <v>218</v>
      </c>
      <c r="Y605" s="269" t="s">
        <v>219</v>
      </c>
      <c r="Z605" s="270" t="s">
        <v>218</v>
      </c>
      <c r="AA605" s="268" t="s">
        <v>218</v>
      </c>
      <c r="AB605" s="268" t="s">
        <v>218</v>
      </c>
      <c r="AC605" s="269" t="s">
        <v>218</v>
      </c>
      <c r="AD605" s="268" t="s">
        <v>218</v>
      </c>
      <c r="AE605" s="269" t="s">
        <v>219</v>
      </c>
      <c r="AF605" s="268">
        <v>0</v>
      </c>
      <c r="AG605" s="239">
        <v>1</v>
      </c>
      <c r="AH605" s="239"/>
      <c r="AI605" s="239">
        <v>0</v>
      </c>
      <c r="AJ605" s="239">
        <v>1</v>
      </c>
    </row>
    <row r="606" spans="1:36" s="81" customFormat="1" ht="32.25" customHeight="1" x14ac:dyDescent="0.3">
      <c r="A606" s="80">
        <v>599</v>
      </c>
      <c r="B606" s="84" t="s">
        <v>196</v>
      </c>
      <c r="D606" s="240" t="s">
        <v>1396</v>
      </c>
      <c r="E606" s="239">
        <v>43</v>
      </c>
      <c r="F606" s="239"/>
      <c r="G606" s="239" t="s">
        <v>245</v>
      </c>
      <c r="H606" s="84" t="s">
        <v>1291</v>
      </c>
      <c r="I606" s="239" t="s">
        <v>886</v>
      </c>
      <c r="J606" s="118" t="s">
        <v>887</v>
      </c>
      <c r="K606" s="118"/>
      <c r="L606" s="118"/>
      <c r="M606" s="282">
        <v>1913</v>
      </c>
      <c r="N606" s="239" t="s">
        <v>318</v>
      </c>
      <c r="O606" s="239">
        <v>5</v>
      </c>
      <c r="P606" s="239">
        <v>0</v>
      </c>
      <c r="Q606" s="282">
        <v>1</v>
      </c>
      <c r="R606" s="239">
        <v>17</v>
      </c>
      <c r="S606" s="266">
        <f t="shared" si="14"/>
        <v>1133.1400000000001</v>
      </c>
      <c r="T606" s="267">
        <v>1133.1400000000001</v>
      </c>
      <c r="U606" s="267">
        <v>910.68</v>
      </c>
      <c r="V606" s="267">
        <v>90.9</v>
      </c>
      <c r="W606" s="268" t="s">
        <v>218</v>
      </c>
      <c r="X606" s="268" t="s">
        <v>218</v>
      </c>
      <c r="Y606" s="269" t="s">
        <v>219</v>
      </c>
      <c r="Z606" s="270" t="s">
        <v>218</v>
      </c>
      <c r="AA606" s="268" t="s">
        <v>218</v>
      </c>
      <c r="AB606" s="268" t="s">
        <v>218</v>
      </c>
      <c r="AC606" s="269" t="s">
        <v>218</v>
      </c>
      <c r="AD606" s="268" t="s">
        <v>218</v>
      </c>
      <c r="AE606" s="269" t="s">
        <v>219</v>
      </c>
      <c r="AF606" s="268">
        <v>0</v>
      </c>
      <c r="AG606" s="239">
        <v>1</v>
      </c>
      <c r="AH606" s="239"/>
      <c r="AI606" s="239">
        <v>0</v>
      </c>
      <c r="AJ606" s="239">
        <v>1</v>
      </c>
    </row>
    <row r="607" spans="1:36" s="81" customFormat="1" ht="32.25" customHeight="1" x14ac:dyDescent="0.3">
      <c r="A607" s="5">
        <v>600</v>
      </c>
      <c r="B607" s="84" t="s">
        <v>196</v>
      </c>
      <c r="D607" s="240" t="s">
        <v>1396</v>
      </c>
      <c r="E607" s="239">
        <v>43</v>
      </c>
      <c r="F607" s="239"/>
      <c r="G607" s="239" t="s">
        <v>1356</v>
      </c>
      <c r="H607" s="84" t="s">
        <v>1292</v>
      </c>
      <c r="I607" s="239" t="s">
        <v>886</v>
      </c>
      <c r="J607" s="118" t="s">
        <v>887</v>
      </c>
      <c r="K607" s="118"/>
      <c r="L607" s="118"/>
      <c r="M607" s="239">
        <v>1906</v>
      </c>
      <c r="N607" s="239" t="s">
        <v>318</v>
      </c>
      <c r="O607" s="239">
        <v>4</v>
      </c>
      <c r="P607" s="239">
        <v>0</v>
      </c>
      <c r="Q607" s="239">
        <v>1</v>
      </c>
      <c r="R607" s="239">
        <v>13</v>
      </c>
      <c r="S607" s="266">
        <f t="shared" si="14"/>
        <v>710.47</v>
      </c>
      <c r="T607" s="267">
        <v>710.47</v>
      </c>
      <c r="U607" s="267">
        <v>617.47</v>
      </c>
      <c r="V607" s="267">
        <v>92.2</v>
      </c>
      <c r="W607" s="268" t="s">
        <v>218</v>
      </c>
      <c r="X607" s="268" t="s">
        <v>218</v>
      </c>
      <c r="Y607" s="269" t="s">
        <v>219</v>
      </c>
      <c r="Z607" s="270" t="s">
        <v>218</v>
      </c>
      <c r="AA607" s="268" t="s">
        <v>218</v>
      </c>
      <c r="AB607" s="268" t="s">
        <v>218</v>
      </c>
      <c r="AC607" s="269" t="s">
        <v>218</v>
      </c>
      <c r="AD607" s="268" t="s">
        <v>218</v>
      </c>
      <c r="AE607" s="269" t="s">
        <v>219</v>
      </c>
      <c r="AF607" s="268">
        <v>0</v>
      </c>
      <c r="AG607" s="239" t="s">
        <v>946</v>
      </c>
      <c r="AH607" s="239"/>
      <c r="AI607" s="239">
        <v>0</v>
      </c>
      <c r="AJ607" s="239">
        <v>0</v>
      </c>
    </row>
    <row r="608" spans="1:36" s="81" customFormat="1" ht="32.25" customHeight="1" x14ac:dyDescent="0.3">
      <c r="A608" s="80">
        <v>601</v>
      </c>
      <c r="B608" s="84" t="s">
        <v>196</v>
      </c>
      <c r="D608" s="240" t="s">
        <v>1396</v>
      </c>
      <c r="E608" s="239">
        <v>45</v>
      </c>
      <c r="F608" s="239"/>
      <c r="G608" s="239" t="s">
        <v>245</v>
      </c>
      <c r="H608" s="84" t="s">
        <v>1293</v>
      </c>
      <c r="I608" s="239" t="s">
        <v>886</v>
      </c>
      <c r="J608" s="118" t="s">
        <v>887</v>
      </c>
      <c r="K608" s="118"/>
      <c r="L608" s="118"/>
      <c r="M608" s="282">
        <v>1917</v>
      </c>
      <c r="N608" s="239" t="s">
        <v>318</v>
      </c>
      <c r="O608" s="282">
        <v>4</v>
      </c>
      <c r="P608" s="239">
        <v>0</v>
      </c>
      <c r="Q608" s="282">
        <v>2</v>
      </c>
      <c r="R608" s="239">
        <v>17</v>
      </c>
      <c r="S608" s="266">
        <f t="shared" si="14"/>
        <v>1258</v>
      </c>
      <c r="T608" s="267">
        <v>1258</v>
      </c>
      <c r="U608" s="267">
        <v>1194.0999999999999</v>
      </c>
      <c r="V608" s="267">
        <v>0</v>
      </c>
      <c r="W608" s="268" t="s">
        <v>218</v>
      </c>
      <c r="X608" s="268" t="s">
        <v>218</v>
      </c>
      <c r="Y608" s="269" t="s">
        <v>219</v>
      </c>
      <c r="Z608" s="270" t="s">
        <v>218</v>
      </c>
      <c r="AA608" s="268" t="s">
        <v>218</v>
      </c>
      <c r="AB608" s="268" t="s">
        <v>218</v>
      </c>
      <c r="AC608" s="269" t="s">
        <v>218</v>
      </c>
      <c r="AD608" s="268" t="s">
        <v>218</v>
      </c>
      <c r="AE608" s="269" t="s">
        <v>219</v>
      </c>
      <c r="AF608" s="268">
        <v>0</v>
      </c>
      <c r="AG608" s="239">
        <v>2</v>
      </c>
      <c r="AH608" s="239"/>
      <c r="AI608" s="239">
        <v>0</v>
      </c>
      <c r="AJ608" s="239">
        <v>1</v>
      </c>
    </row>
    <row r="609" spans="1:36" s="81" customFormat="1" ht="32.25" customHeight="1" x14ac:dyDescent="0.3">
      <c r="A609" s="5">
        <v>602</v>
      </c>
      <c r="B609" s="84" t="s">
        <v>196</v>
      </c>
      <c r="D609" s="240" t="s">
        <v>1396</v>
      </c>
      <c r="E609" s="239">
        <v>46</v>
      </c>
      <c r="F609" s="239"/>
      <c r="G609" s="239" t="s">
        <v>245</v>
      </c>
      <c r="H609" s="84" t="s">
        <v>1294</v>
      </c>
      <c r="I609" s="239" t="s">
        <v>886</v>
      </c>
      <c r="J609" s="118" t="s">
        <v>904</v>
      </c>
      <c r="K609" s="118"/>
      <c r="L609" s="118"/>
      <c r="M609" s="282">
        <v>1892</v>
      </c>
      <c r="N609" s="239" t="s">
        <v>318</v>
      </c>
      <c r="O609" s="282">
        <v>3</v>
      </c>
      <c r="P609" s="239">
        <v>0</v>
      </c>
      <c r="Q609" s="282">
        <v>1</v>
      </c>
      <c r="R609" s="239">
        <v>5</v>
      </c>
      <c r="S609" s="266">
        <f t="shared" si="14"/>
        <v>430.1</v>
      </c>
      <c r="T609" s="267">
        <v>430.1</v>
      </c>
      <c r="U609" s="267">
        <v>430.1</v>
      </c>
      <c r="V609" s="267">
        <v>0</v>
      </c>
      <c r="W609" s="268" t="s">
        <v>218</v>
      </c>
      <c r="X609" s="268" t="s">
        <v>218</v>
      </c>
      <c r="Y609" s="269" t="s">
        <v>219</v>
      </c>
      <c r="Z609" s="270" t="s">
        <v>218</v>
      </c>
      <c r="AA609" s="268" t="s">
        <v>218</v>
      </c>
      <c r="AB609" s="268" t="s">
        <v>218</v>
      </c>
      <c r="AC609" s="269" t="s">
        <v>218</v>
      </c>
      <c r="AD609" s="268" t="s">
        <v>218</v>
      </c>
      <c r="AE609" s="269" t="s">
        <v>219</v>
      </c>
      <c r="AF609" s="268">
        <v>0</v>
      </c>
      <c r="AG609" s="239">
        <v>1</v>
      </c>
      <c r="AH609" s="239"/>
      <c r="AI609" s="239">
        <v>0</v>
      </c>
      <c r="AJ609" s="239">
        <v>1</v>
      </c>
    </row>
    <row r="610" spans="1:36" s="81" customFormat="1" ht="32.25" customHeight="1" x14ac:dyDescent="0.3">
      <c r="A610" s="80">
        <v>603</v>
      </c>
      <c r="B610" s="84" t="s">
        <v>196</v>
      </c>
      <c r="D610" s="240" t="s">
        <v>1396</v>
      </c>
      <c r="E610" s="239">
        <v>47</v>
      </c>
      <c r="F610" s="239"/>
      <c r="G610" s="239" t="s">
        <v>245</v>
      </c>
      <c r="H610" s="84" t="s">
        <v>1295</v>
      </c>
      <c r="I610" s="239" t="s">
        <v>886</v>
      </c>
      <c r="J610" s="118" t="s">
        <v>887</v>
      </c>
      <c r="K610" s="118"/>
      <c r="L610" s="118"/>
      <c r="M610" s="282">
        <v>1963</v>
      </c>
      <c r="N610" s="239" t="s">
        <v>318</v>
      </c>
      <c r="O610" s="282">
        <v>5</v>
      </c>
      <c r="P610" s="239">
        <v>0</v>
      </c>
      <c r="Q610" s="282">
        <v>6</v>
      </c>
      <c r="R610" s="239">
        <v>96</v>
      </c>
      <c r="S610" s="266">
        <f t="shared" si="14"/>
        <v>4605.3</v>
      </c>
      <c r="T610" s="267">
        <v>4605.3</v>
      </c>
      <c r="U610" s="267">
        <v>4605.3</v>
      </c>
      <c r="V610" s="267">
        <v>0</v>
      </c>
      <c r="W610" s="268" t="s">
        <v>218</v>
      </c>
      <c r="X610" s="268" t="s">
        <v>218</v>
      </c>
      <c r="Y610" s="269" t="s">
        <v>219</v>
      </c>
      <c r="Z610" s="270" t="s">
        <v>218</v>
      </c>
      <c r="AA610" s="268" t="s">
        <v>218</v>
      </c>
      <c r="AB610" s="268" t="s">
        <v>218</v>
      </c>
      <c r="AC610" s="269" t="s">
        <v>218</v>
      </c>
      <c r="AD610" s="268" t="s">
        <v>218</v>
      </c>
      <c r="AE610" s="269" t="s">
        <v>219</v>
      </c>
      <c r="AF610" s="268">
        <v>0</v>
      </c>
      <c r="AG610" s="239">
        <v>1</v>
      </c>
      <c r="AH610" s="239"/>
      <c r="AI610" s="239">
        <v>0</v>
      </c>
      <c r="AJ610" s="239">
        <v>1</v>
      </c>
    </row>
    <row r="611" spans="1:36" s="81" customFormat="1" ht="32.25" customHeight="1" x14ac:dyDescent="0.3">
      <c r="A611" s="5">
        <v>604</v>
      </c>
      <c r="B611" s="84" t="s">
        <v>196</v>
      </c>
      <c r="D611" s="240" t="s">
        <v>1396</v>
      </c>
      <c r="E611" s="239">
        <v>52</v>
      </c>
      <c r="F611" s="239"/>
      <c r="G611" s="239" t="s">
        <v>245</v>
      </c>
      <c r="H611" s="84" t="s">
        <v>1296</v>
      </c>
      <c r="I611" s="239" t="s">
        <v>886</v>
      </c>
      <c r="J611" s="118" t="s">
        <v>904</v>
      </c>
      <c r="K611" s="118"/>
      <c r="L611" s="118"/>
      <c r="M611" s="282">
        <v>1917</v>
      </c>
      <c r="N611" s="239" t="s">
        <v>318</v>
      </c>
      <c r="O611" s="282">
        <v>5</v>
      </c>
      <c r="P611" s="239">
        <v>0</v>
      </c>
      <c r="Q611" s="282">
        <v>1</v>
      </c>
      <c r="R611" s="239">
        <v>12</v>
      </c>
      <c r="S611" s="266">
        <f t="shared" si="14"/>
        <v>995.7</v>
      </c>
      <c r="T611" s="267">
        <v>995.7</v>
      </c>
      <c r="U611" s="267">
        <v>860.7</v>
      </c>
      <c r="V611" s="267">
        <v>123.5</v>
      </c>
      <c r="W611" s="268" t="s">
        <v>218</v>
      </c>
      <c r="X611" s="268" t="s">
        <v>218</v>
      </c>
      <c r="Y611" s="269" t="s">
        <v>219</v>
      </c>
      <c r="Z611" s="270" t="s">
        <v>218</v>
      </c>
      <c r="AA611" s="268" t="s">
        <v>218</v>
      </c>
      <c r="AB611" s="268" t="s">
        <v>218</v>
      </c>
      <c r="AC611" s="269" t="s">
        <v>218</v>
      </c>
      <c r="AD611" s="268" t="s">
        <v>218</v>
      </c>
      <c r="AE611" s="269" t="s">
        <v>219</v>
      </c>
      <c r="AF611" s="268">
        <v>1</v>
      </c>
      <c r="AG611" s="239">
        <v>1</v>
      </c>
      <c r="AH611" s="239"/>
      <c r="AI611" s="239">
        <v>0</v>
      </c>
      <c r="AJ611" s="239">
        <v>0</v>
      </c>
    </row>
    <row r="612" spans="1:36" s="81" customFormat="1" ht="32.25" customHeight="1" x14ac:dyDescent="0.3">
      <c r="A612" s="80">
        <v>605</v>
      </c>
      <c r="B612" s="84" t="s">
        <v>196</v>
      </c>
      <c r="D612" s="240" t="s">
        <v>1396</v>
      </c>
      <c r="E612" s="239">
        <v>58</v>
      </c>
      <c r="F612" s="239"/>
      <c r="G612" s="239" t="s">
        <v>245</v>
      </c>
      <c r="H612" s="84" t="s">
        <v>1297</v>
      </c>
      <c r="I612" s="239" t="s">
        <v>886</v>
      </c>
      <c r="J612" s="118" t="s">
        <v>904</v>
      </c>
      <c r="K612" s="118" t="s">
        <v>922</v>
      </c>
      <c r="L612" s="239"/>
      <c r="M612" s="239">
        <v>1917</v>
      </c>
      <c r="N612" s="239" t="s">
        <v>318</v>
      </c>
      <c r="O612" s="239">
        <v>5</v>
      </c>
      <c r="P612" s="239">
        <v>0</v>
      </c>
      <c r="Q612" s="239">
        <v>1</v>
      </c>
      <c r="R612" s="239">
        <v>18</v>
      </c>
      <c r="S612" s="266">
        <f t="shared" si="14"/>
        <v>1219.0999999999999</v>
      </c>
      <c r="T612" s="267">
        <v>1219.0999999999999</v>
      </c>
      <c r="U612" s="267">
        <v>1038.8</v>
      </c>
      <c r="V612" s="267">
        <v>174.1</v>
      </c>
      <c r="W612" s="268" t="s">
        <v>218</v>
      </c>
      <c r="X612" s="268" t="s">
        <v>218</v>
      </c>
      <c r="Y612" s="269" t="s">
        <v>219</v>
      </c>
      <c r="Z612" s="270" t="s">
        <v>218</v>
      </c>
      <c r="AA612" s="268" t="s">
        <v>218</v>
      </c>
      <c r="AB612" s="268" t="s">
        <v>218</v>
      </c>
      <c r="AC612" s="269" t="s">
        <v>218</v>
      </c>
      <c r="AD612" s="268" t="s">
        <v>218</v>
      </c>
      <c r="AE612" s="269" t="s">
        <v>219</v>
      </c>
      <c r="AF612" s="268">
        <v>0</v>
      </c>
      <c r="AG612" s="239">
        <v>1</v>
      </c>
      <c r="AH612" s="239"/>
      <c r="AI612" s="239">
        <v>0</v>
      </c>
      <c r="AJ612" s="239">
        <v>0</v>
      </c>
    </row>
    <row r="613" spans="1:36" s="81" customFormat="1" ht="32.25" customHeight="1" x14ac:dyDescent="0.3">
      <c r="A613" s="5">
        <v>606</v>
      </c>
      <c r="B613" s="84" t="s">
        <v>196</v>
      </c>
      <c r="D613" s="240" t="s">
        <v>1396</v>
      </c>
      <c r="E613" s="239">
        <v>6</v>
      </c>
      <c r="F613" s="239"/>
      <c r="G613" s="239" t="s">
        <v>245</v>
      </c>
      <c r="H613" s="84" t="s">
        <v>1298</v>
      </c>
      <c r="I613" s="239" t="s">
        <v>886</v>
      </c>
      <c r="J613" s="118" t="s">
        <v>904</v>
      </c>
      <c r="K613" s="118"/>
      <c r="L613" s="118"/>
      <c r="M613" s="239">
        <v>1910</v>
      </c>
      <c r="N613" s="239" t="s">
        <v>318</v>
      </c>
      <c r="O613" s="239">
        <v>6</v>
      </c>
      <c r="P613" s="239">
        <v>0</v>
      </c>
      <c r="Q613" s="239">
        <v>1</v>
      </c>
      <c r="R613" s="239">
        <v>15</v>
      </c>
      <c r="S613" s="266">
        <f t="shared" si="14"/>
        <v>1048.9000000000001</v>
      </c>
      <c r="T613" s="267">
        <v>1048.9000000000001</v>
      </c>
      <c r="U613" s="267">
        <v>917.8</v>
      </c>
      <c r="V613" s="267">
        <v>106.39999999999999</v>
      </c>
      <c r="W613" s="268" t="s">
        <v>218</v>
      </c>
      <c r="X613" s="268" t="s">
        <v>218</v>
      </c>
      <c r="Y613" s="269" t="s">
        <v>219</v>
      </c>
      <c r="Z613" s="270" t="s">
        <v>218</v>
      </c>
      <c r="AA613" s="268" t="s">
        <v>218</v>
      </c>
      <c r="AB613" s="268" t="s">
        <v>218</v>
      </c>
      <c r="AC613" s="269" t="s">
        <v>218</v>
      </c>
      <c r="AD613" s="268" t="s">
        <v>218</v>
      </c>
      <c r="AE613" s="269" t="s">
        <v>219</v>
      </c>
      <c r="AF613" s="268">
        <v>1</v>
      </c>
      <c r="AG613" s="239">
        <v>2</v>
      </c>
      <c r="AH613" s="239"/>
      <c r="AI613" s="239">
        <v>0</v>
      </c>
      <c r="AJ613" s="239">
        <v>0</v>
      </c>
    </row>
    <row r="614" spans="1:36" s="81" customFormat="1" ht="32.25" customHeight="1" x14ac:dyDescent="0.3">
      <c r="A614" s="80">
        <v>607</v>
      </c>
      <c r="B614" s="84" t="s">
        <v>196</v>
      </c>
      <c r="D614" s="240" t="s">
        <v>1396</v>
      </c>
      <c r="E614" s="239">
        <v>66</v>
      </c>
      <c r="F614" s="239"/>
      <c r="G614" s="239" t="s">
        <v>245</v>
      </c>
      <c r="H614" s="84" t="s">
        <v>1299</v>
      </c>
      <c r="I614" s="239" t="s">
        <v>886</v>
      </c>
      <c r="J614" s="118" t="s">
        <v>904</v>
      </c>
      <c r="K614" s="118"/>
      <c r="L614" s="118"/>
      <c r="M614" s="282">
        <v>1917</v>
      </c>
      <c r="N614" s="239" t="s">
        <v>318</v>
      </c>
      <c r="O614" s="282">
        <v>5</v>
      </c>
      <c r="P614" s="239">
        <v>0</v>
      </c>
      <c r="Q614" s="239">
        <v>1</v>
      </c>
      <c r="R614" s="239">
        <v>15</v>
      </c>
      <c r="S614" s="266">
        <f t="shared" si="14"/>
        <v>1428.8</v>
      </c>
      <c r="T614" s="267">
        <v>1428.8</v>
      </c>
      <c r="U614" s="267">
        <v>1072.5999999999999</v>
      </c>
      <c r="V614" s="267">
        <v>356.2</v>
      </c>
      <c r="W614" s="268" t="s">
        <v>218</v>
      </c>
      <c r="X614" s="268" t="s">
        <v>218</v>
      </c>
      <c r="Y614" s="269" t="s">
        <v>219</v>
      </c>
      <c r="Z614" s="270" t="s">
        <v>218</v>
      </c>
      <c r="AA614" s="268" t="s">
        <v>218</v>
      </c>
      <c r="AB614" s="268" t="s">
        <v>218</v>
      </c>
      <c r="AC614" s="269" t="s">
        <v>218</v>
      </c>
      <c r="AD614" s="268" t="s">
        <v>218</v>
      </c>
      <c r="AE614" s="269" t="s">
        <v>219</v>
      </c>
      <c r="AF614" s="268">
        <v>0</v>
      </c>
      <c r="AG614" s="239">
        <v>1</v>
      </c>
      <c r="AH614" s="239"/>
      <c r="AI614" s="239">
        <v>0</v>
      </c>
      <c r="AJ614" s="239">
        <v>0</v>
      </c>
    </row>
    <row r="615" spans="1:36" s="81" customFormat="1" ht="32.25" customHeight="1" x14ac:dyDescent="0.3">
      <c r="A615" s="5">
        <v>608</v>
      </c>
      <c r="B615" s="84" t="s">
        <v>196</v>
      </c>
      <c r="D615" s="240" t="s">
        <v>1396</v>
      </c>
      <c r="E615" s="239">
        <v>67</v>
      </c>
      <c r="F615" s="239"/>
      <c r="G615" s="239" t="s">
        <v>245</v>
      </c>
      <c r="H615" s="84" t="s">
        <v>1300</v>
      </c>
      <c r="I615" s="239" t="s">
        <v>886</v>
      </c>
      <c r="J615" s="118" t="s">
        <v>1358</v>
      </c>
      <c r="K615" s="118"/>
      <c r="L615" s="118"/>
      <c r="M615" s="282">
        <v>1913</v>
      </c>
      <c r="N615" s="239" t="s">
        <v>318</v>
      </c>
      <c r="O615" s="282">
        <v>6</v>
      </c>
      <c r="P615" s="239">
        <v>0</v>
      </c>
      <c r="Q615" s="239">
        <v>1</v>
      </c>
      <c r="R615" s="239">
        <v>16</v>
      </c>
      <c r="S615" s="266">
        <f t="shared" si="14"/>
        <v>1201.0999999999999</v>
      </c>
      <c r="T615" s="267">
        <v>1201.0999999999999</v>
      </c>
      <c r="U615" s="267">
        <v>1155.2</v>
      </c>
      <c r="V615" s="267">
        <v>0</v>
      </c>
      <c r="W615" s="268" t="s">
        <v>218</v>
      </c>
      <c r="X615" s="268" t="s">
        <v>218</v>
      </c>
      <c r="Y615" s="269" t="s">
        <v>219</v>
      </c>
      <c r="Z615" s="270" t="s">
        <v>218</v>
      </c>
      <c r="AA615" s="268" t="s">
        <v>218</v>
      </c>
      <c r="AB615" s="268" t="s">
        <v>218</v>
      </c>
      <c r="AC615" s="269" t="s">
        <v>218</v>
      </c>
      <c r="AD615" s="268" t="s">
        <v>218</v>
      </c>
      <c r="AE615" s="269" t="s">
        <v>219</v>
      </c>
      <c r="AF615" s="268">
        <v>1</v>
      </c>
      <c r="AG615" s="239">
        <v>2</v>
      </c>
      <c r="AH615" s="239"/>
      <c r="AI615" s="239">
        <v>0</v>
      </c>
      <c r="AJ615" s="239">
        <v>0</v>
      </c>
    </row>
    <row r="616" spans="1:36" s="81" customFormat="1" ht="32.25" customHeight="1" x14ac:dyDescent="0.3">
      <c r="A616" s="80">
        <v>609</v>
      </c>
      <c r="B616" s="84" t="s">
        <v>196</v>
      </c>
      <c r="D616" s="240" t="s">
        <v>1396</v>
      </c>
      <c r="E616" s="239">
        <v>69</v>
      </c>
      <c r="F616" s="239"/>
      <c r="G616" s="239" t="s">
        <v>245</v>
      </c>
      <c r="H616" s="84" t="s">
        <v>1301</v>
      </c>
      <c r="I616" s="239" t="s">
        <v>886</v>
      </c>
      <c r="J616" s="118" t="s">
        <v>1358</v>
      </c>
      <c r="K616" s="118"/>
      <c r="L616" s="118"/>
      <c r="M616" s="239"/>
      <c r="N616" s="239" t="s">
        <v>318</v>
      </c>
      <c r="O616" s="239"/>
      <c r="P616" s="239">
        <v>0</v>
      </c>
      <c r="Q616" s="239"/>
      <c r="R616" s="239">
        <v>25</v>
      </c>
      <c r="S616" s="266">
        <f t="shared" si="14"/>
        <v>1368</v>
      </c>
      <c r="T616" s="267">
        <v>1368</v>
      </c>
      <c r="U616" s="267">
        <v>1157</v>
      </c>
      <c r="V616" s="267">
        <v>0</v>
      </c>
      <c r="W616" s="268" t="s">
        <v>218</v>
      </c>
      <c r="X616" s="268" t="s">
        <v>218</v>
      </c>
      <c r="Y616" s="269" t="s">
        <v>219</v>
      </c>
      <c r="Z616" s="270" t="s">
        <v>218</v>
      </c>
      <c r="AA616" s="268" t="s">
        <v>218</v>
      </c>
      <c r="AB616" s="268" t="s">
        <v>218</v>
      </c>
      <c r="AC616" s="269" t="s">
        <v>218</v>
      </c>
      <c r="AD616" s="268" t="s">
        <v>218</v>
      </c>
      <c r="AE616" s="269" t="s">
        <v>219</v>
      </c>
      <c r="AF616" s="268">
        <v>1</v>
      </c>
      <c r="AG616" s="239">
        <v>2</v>
      </c>
      <c r="AH616" s="239"/>
      <c r="AI616" s="239">
        <v>1</v>
      </c>
      <c r="AJ616" s="239">
        <v>1</v>
      </c>
    </row>
    <row r="617" spans="1:36" s="81" customFormat="1" ht="32.25" customHeight="1" x14ac:dyDescent="0.3">
      <c r="A617" s="5">
        <v>610</v>
      </c>
      <c r="B617" s="84" t="s">
        <v>196</v>
      </c>
      <c r="D617" s="240" t="s">
        <v>1396</v>
      </c>
      <c r="E617" s="239">
        <v>7</v>
      </c>
      <c r="F617" s="239"/>
      <c r="G617" s="239" t="s">
        <v>245</v>
      </c>
      <c r="H617" s="84" t="s">
        <v>1302</v>
      </c>
      <c r="I617" s="239" t="s">
        <v>886</v>
      </c>
      <c r="J617" s="118" t="s">
        <v>904</v>
      </c>
      <c r="K617" s="118"/>
      <c r="L617" s="118"/>
      <c r="M617" s="239">
        <v>1904</v>
      </c>
      <c r="N617" s="239" t="s">
        <v>318</v>
      </c>
      <c r="O617" s="239">
        <v>7</v>
      </c>
      <c r="P617" s="239">
        <v>0</v>
      </c>
      <c r="Q617" s="239">
        <v>1</v>
      </c>
      <c r="R617" s="239">
        <v>18</v>
      </c>
      <c r="S617" s="266">
        <f t="shared" si="14"/>
        <v>1392</v>
      </c>
      <c r="T617" s="267">
        <v>1392</v>
      </c>
      <c r="U617" s="267">
        <v>1247.9000000000001</v>
      </c>
      <c r="V617" s="267">
        <v>144</v>
      </c>
      <c r="W617" s="268" t="s">
        <v>218</v>
      </c>
      <c r="X617" s="268" t="s">
        <v>218</v>
      </c>
      <c r="Y617" s="269" t="s">
        <v>219</v>
      </c>
      <c r="Z617" s="270" t="s">
        <v>218</v>
      </c>
      <c r="AA617" s="268" t="s">
        <v>218</v>
      </c>
      <c r="AB617" s="268" t="s">
        <v>218</v>
      </c>
      <c r="AC617" s="269" t="s">
        <v>218</v>
      </c>
      <c r="AD617" s="268" t="s">
        <v>218</v>
      </c>
      <c r="AE617" s="269" t="s">
        <v>219</v>
      </c>
      <c r="AF617" s="268">
        <v>1</v>
      </c>
      <c r="AG617" s="239">
        <v>2</v>
      </c>
      <c r="AH617" s="239"/>
      <c r="AI617" s="239">
        <v>0</v>
      </c>
      <c r="AJ617" s="239">
        <v>1</v>
      </c>
    </row>
    <row r="618" spans="1:36" s="81" customFormat="1" ht="32.25" customHeight="1" x14ac:dyDescent="0.3">
      <c r="A618" s="80">
        <v>611</v>
      </c>
      <c r="B618" s="84" t="s">
        <v>196</v>
      </c>
      <c r="D618" s="240" t="s">
        <v>1396</v>
      </c>
      <c r="E618" s="239" t="s">
        <v>1398</v>
      </c>
      <c r="F618" s="239"/>
      <c r="G618" s="239" t="s">
        <v>245</v>
      </c>
      <c r="H618" s="84" t="s">
        <v>1303</v>
      </c>
      <c r="I618" s="239" t="s">
        <v>886</v>
      </c>
      <c r="J618" s="118" t="s">
        <v>904</v>
      </c>
      <c r="K618" s="118"/>
      <c r="L618" s="118"/>
      <c r="M618" s="282">
        <v>1884</v>
      </c>
      <c r="N618" s="239" t="s">
        <v>318</v>
      </c>
      <c r="O618" s="282">
        <v>4</v>
      </c>
      <c r="P618" s="239">
        <v>0</v>
      </c>
      <c r="Q618" s="282">
        <v>1</v>
      </c>
      <c r="R618" s="239">
        <v>12</v>
      </c>
      <c r="S618" s="266">
        <f t="shared" si="14"/>
        <v>1287.2</v>
      </c>
      <c r="T618" s="267">
        <v>1287.2</v>
      </c>
      <c r="U618" s="267">
        <v>962.5</v>
      </c>
      <c r="V618" s="267">
        <v>324.7</v>
      </c>
      <c r="W618" s="268" t="s">
        <v>218</v>
      </c>
      <c r="X618" s="268" t="s">
        <v>218</v>
      </c>
      <c r="Y618" s="269" t="s">
        <v>219</v>
      </c>
      <c r="Z618" s="270" t="s">
        <v>218</v>
      </c>
      <c r="AA618" s="268" t="s">
        <v>218</v>
      </c>
      <c r="AB618" s="268" t="s">
        <v>218</v>
      </c>
      <c r="AC618" s="269" t="s">
        <v>218</v>
      </c>
      <c r="AD618" s="268" t="s">
        <v>218</v>
      </c>
      <c r="AE618" s="269" t="s">
        <v>219</v>
      </c>
      <c r="AF618" s="268">
        <v>0</v>
      </c>
      <c r="AG618" s="239">
        <v>1</v>
      </c>
      <c r="AH618" s="239"/>
      <c r="AI618" s="239">
        <v>0</v>
      </c>
      <c r="AJ618" s="239">
        <v>0</v>
      </c>
    </row>
    <row r="619" spans="1:36" s="81" customFormat="1" ht="32.25" customHeight="1" x14ac:dyDescent="0.3">
      <c r="A619" s="5">
        <v>612</v>
      </c>
      <c r="B619" s="84" t="s">
        <v>196</v>
      </c>
      <c r="D619" s="240" t="s">
        <v>1396</v>
      </c>
      <c r="E619" s="239" t="s">
        <v>1399</v>
      </c>
      <c r="F619" s="239"/>
      <c r="G619" s="239" t="s">
        <v>245</v>
      </c>
      <c r="H619" s="84" t="s">
        <v>1304</v>
      </c>
      <c r="I619" s="239" t="s">
        <v>886</v>
      </c>
      <c r="J619" s="118" t="s">
        <v>904</v>
      </c>
      <c r="K619" s="118"/>
      <c r="L619" s="118"/>
      <c r="M619" s="282">
        <v>1910</v>
      </c>
      <c r="N619" s="239" t="s">
        <v>318</v>
      </c>
      <c r="O619" s="282">
        <v>5</v>
      </c>
      <c r="P619" s="239">
        <v>0</v>
      </c>
      <c r="Q619" s="282">
        <v>2</v>
      </c>
      <c r="R619" s="239">
        <v>24</v>
      </c>
      <c r="S619" s="266">
        <f t="shared" si="14"/>
        <v>2010.6</v>
      </c>
      <c r="T619" s="267">
        <v>2010.6</v>
      </c>
      <c r="U619" s="267">
        <v>1607.8</v>
      </c>
      <c r="V619" s="267">
        <v>273.89999999999998</v>
      </c>
      <c r="W619" s="268" t="s">
        <v>218</v>
      </c>
      <c r="X619" s="268" t="s">
        <v>218</v>
      </c>
      <c r="Y619" s="269" t="s">
        <v>219</v>
      </c>
      <c r="Z619" s="270" t="s">
        <v>218</v>
      </c>
      <c r="AA619" s="268" t="s">
        <v>218</v>
      </c>
      <c r="AB619" s="268" t="s">
        <v>218</v>
      </c>
      <c r="AC619" s="269" t="s">
        <v>218</v>
      </c>
      <c r="AD619" s="268" t="s">
        <v>218</v>
      </c>
      <c r="AE619" s="269" t="s">
        <v>219</v>
      </c>
      <c r="AF619" s="268">
        <v>1</v>
      </c>
      <c r="AG619" s="239">
        <v>1</v>
      </c>
      <c r="AH619" s="239"/>
      <c r="AI619" s="239">
        <v>1</v>
      </c>
      <c r="AJ619" s="239">
        <v>1</v>
      </c>
    </row>
    <row r="620" spans="1:36" s="81" customFormat="1" ht="32.25" customHeight="1" x14ac:dyDescent="0.3">
      <c r="A620" s="80">
        <v>613</v>
      </c>
      <c r="B620" s="84" t="s">
        <v>196</v>
      </c>
      <c r="D620" s="240" t="s">
        <v>1396</v>
      </c>
      <c r="E620" s="239">
        <v>72</v>
      </c>
      <c r="F620" s="239"/>
      <c r="G620" s="239" t="s">
        <v>245</v>
      </c>
      <c r="H620" s="84" t="s">
        <v>1305</v>
      </c>
      <c r="I620" s="239" t="s">
        <v>886</v>
      </c>
      <c r="J620" s="118" t="s">
        <v>903</v>
      </c>
      <c r="K620" s="118"/>
      <c r="L620" s="118"/>
      <c r="M620" s="282">
        <v>1910</v>
      </c>
      <c r="N620" s="239" t="s">
        <v>318</v>
      </c>
      <c r="O620" s="282">
        <v>3</v>
      </c>
      <c r="P620" s="239">
        <v>0</v>
      </c>
      <c r="Q620" s="282">
        <v>1</v>
      </c>
      <c r="R620" s="239">
        <v>5</v>
      </c>
      <c r="S620" s="266">
        <f t="shared" si="14"/>
        <v>322.39999999999998</v>
      </c>
      <c r="T620" s="267">
        <v>322.39999999999998</v>
      </c>
      <c r="U620" s="267">
        <v>264.60000000000002</v>
      </c>
      <c r="V620" s="267">
        <v>26.4</v>
      </c>
      <c r="W620" s="268" t="s">
        <v>218</v>
      </c>
      <c r="X620" s="268" t="s">
        <v>218</v>
      </c>
      <c r="Y620" s="269" t="s">
        <v>219</v>
      </c>
      <c r="Z620" s="270" t="s">
        <v>218</v>
      </c>
      <c r="AA620" s="268" t="s">
        <v>218</v>
      </c>
      <c r="AB620" s="268" t="s">
        <v>218</v>
      </c>
      <c r="AC620" s="269" t="s">
        <v>218</v>
      </c>
      <c r="AD620" s="268" t="s">
        <v>218</v>
      </c>
      <c r="AE620" s="269" t="s">
        <v>219</v>
      </c>
      <c r="AF620" s="268">
        <v>0</v>
      </c>
      <c r="AG620" s="239">
        <v>1</v>
      </c>
      <c r="AH620" s="239"/>
      <c r="AI620" s="239">
        <v>0</v>
      </c>
      <c r="AJ620" s="239">
        <v>0</v>
      </c>
    </row>
    <row r="621" spans="1:36" s="81" customFormat="1" ht="32.25" customHeight="1" x14ac:dyDescent="0.3">
      <c r="A621" s="5">
        <v>614</v>
      </c>
      <c r="B621" s="84" t="s">
        <v>196</v>
      </c>
      <c r="D621" s="240" t="s">
        <v>1396</v>
      </c>
      <c r="E621" s="239">
        <v>75</v>
      </c>
      <c r="F621" s="239"/>
      <c r="G621" s="239" t="s">
        <v>245</v>
      </c>
      <c r="H621" s="84" t="s">
        <v>1306</v>
      </c>
      <c r="I621" s="239" t="s">
        <v>886</v>
      </c>
      <c r="J621" s="118" t="s">
        <v>216</v>
      </c>
      <c r="K621" s="118"/>
      <c r="L621" s="118"/>
      <c r="M621" s="282">
        <v>1959</v>
      </c>
      <c r="N621" s="239" t="s">
        <v>318</v>
      </c>
      <c r="O621" s="282">
        <v>5</v>
      </c>
      <c r="P621" s="239">
        <v>0</v>
      </c>
      <c r="Q621" s="282">
        <v>5</v>
      </c>
      <c r="R621" s="239">
        <v>99</v>
      </c>
      <c r="S621" s="266">
        <f t="shared" si="14"/>
        <v>4130.6000000000004</v>
      </c>
      <c r="T621" s="267">
        <v>4130.6000000000004</v>
      </c>
      <c r="U621" s="267">
        <v>4069.1</v>
      </c>
      <c r="V621" s="267">
        <v>0</v>
      </c>
      <c r="W621" s="268" t="s">
        <v>218</v>
      </c>
      <c r="X621" s="268" t="s">
        <v>218</v>
      </c>
      <c r="Y621" s="269" t="s">
        <v>219</v>
      </c>
      <c r="Z621" s="270" t="s">
        <v>218</v>
      </c>
      <c r="AA621" s="268" t="s">
        <v>218</v>
      </c>
      <c r="AB621" s="268" t="s">
        <v>218</v>
      </c>
      <c r="AC621" s="269" t="s">
        <v>218</v>
      </c>
      <c r="AD621" s="268" t="s">
        <v>218</v>
      </c>
      <c r="AE621" s="269" t="s">
        <v>219</v>
      </c>
      <c r="AF621" s="268">
        <v>0</v>
      </c>
      <c r="AG621" s="239">
        <v>1</v>
      </c>
      <c r="AH621" s="239"/>
      <c r="AI621" s="239">
        <v>0</v>
      </c>
      <c r="AJ621" s="239">
        <v>1</v>
      </c>
    </row>
    <row r="622" spans="1:36" s="81" customFormat="1" ht="32.25" customHeight="1" x14ac:dyDescent="0.3">
      <c r="A622" s="80">
        <v>615</v>
      </c>
      <c r="B622" s="84" t="s">
        <v>196</v>
      </c>
      <c r="D622" s="240" t="s">
        <v>1396</v>
      </c>
      <c r="E622" s="239">
        <v>76</v>
      </c>
      <c r="F622" s="239"/>
      <c r="G622" s="239" t="s">
        <v>245</v>
      </c>
      <c r="H622" s="84" t="s">
        <v>1307</v>
      </c>
      <c r="I622" s="239" t="s">
        <v>886</v>
      </c>
      <c r="J622" s="118" t="s">
        <v>887</v>
      </c>
      <c r="K622" s="118"/>
      <c r="L622" s="118"/>
      <c r="M622" s="282">
        <v>1910</v>
      </c>
      <c r="N622" s="239" t="s">
        <v>318</v>
      </c>
      <c r="O622" s="282">
        <v>4</v>
      </c>
      <c r="P622" s="239">
        <v>0</v>
      </c>
      <c r="Q622" s="282">
        <v>1</v>
      </c>
      <c r="R622" s="239">
        <v>13</v>
      </c>
      <c r="S622" s="266">
        <f t="shared" si="14"/>
        <v>885.3</v>
      </c>
      <c r="T622" s="267">
        <v>885.3</v>
      </c>
      <c r="U622" s="267">
        <v>741.7</v>
      </c>
      <c r="V622" s="267">
        <v>0</v>
      </c>
      <c r="W622" s="268" t="s">
        <v>218</v>
      </c>
      <c r="X622" s="268" t="s">
        <v>218</v>
      </c>
      <c r="Y622" s="269" t="s">
        <v>219</v>
      </c>
      <c r="Z622" s="270" t="s">
        <v>218</v>
      </c>
      <c r="AA622" s="268" t="s">
        <v>218</v>
      </c>
      <c r="AB622" s="268" t="s">
        <v>218</v>
      </c>
      <c r="AC622" s="269" t="s">
        <v>218</v>
      </c>
      <c r="AD622" s="268" t="s">
        <v>218</v>
      </c>
      <c r="AE622" s="269" t="s">
        <v>219</v>
      </c>
      <c r="AF622" s="268">
        <v>0</v>
      </c>
      <c r="AG622" s="239">
        <v>1</v>
      </c>
      <c r="AH622" s="239"/>
      <c r="AI622" s="239">
        <v>0</v>
      </c>
      <c r="AJ622" s="239">
        <v>0</v>
      </c>
    </row>
    <row r="623" spans="1:36" s="81" customFormat="1" ht="32.25" customHeight="1" x14ac:dyDescent="0.3">
      <c r="A623" s="5">
        <v>616</v>
      </c>
      <c r="B623" s="84" t="s">
        <v>196</v>
      </c>
      <c r="D623" s="240" t="s">
        <v>1396</v>
      </c>
      <c r="E623" s="239">
        <v>76</v>
      </c>
      <c r="F623" s="239"/>
      <c r="G623" s="239" t="s">
        <v>1356</v>
      </c>
      <c r="H623" s="84" t="s">
        <v>1308</v>
      </c>
      <c r="I623" s="239" t="s">
        <v>886</v>
      </c>
      <c r="J623" s="118" t="s">
        <v>887</v>
      </c>
      <c r="K623" s="118"/>
      <c r="L623" s="118"/>
      <c r="M623" s="282">
        <v>1910</v>
      </c>
      <c r="N623" s="239" t="s">
        <v>318</v>
      </c>
      <c r="O623" s="239">
        <v>5</v>
      </c>
      <c r="P623" s="239">
        <v>0</v>
      </c>
      <c r="Q623" s="239">
        <v>1</v>
      </c>
      <c r="R623" s="239">
        <v>19</v>
      </c>
      <c r="S623" s="266">
        <f t="shared" si="14"/>
        <v>1057.4000000000001</v>
      </c>
      <c r="T623" s="267">
        <v>1057.4000000000001</v>
      </c>
      <c r="U623" s="267">
        <v>963.7</v>
      </c>
      <c r="V623" s="267">
        <v>0</v>
      </c>
      <c r="W623" s="268" t="s">
        <v>218</v>
      </c>
      <c r="X623" s="268" t="s">
        <v>218</v>
      </c>
      <c r="Y623" s="269" t="s">
        <v>219</v>
      </c>
      <c r="Z623" s="270" t="s">
        <v>218</v>
      </c>
      <c r="AA623" s="268" t="s">
        <v>218</v>
      </c>
      <c r="AB623" s="268" t="s">
        <v>218</v>
      </c>
      <c r="AC623" s="269" t="s">
        <v>218</v>
      </c>
      <c r="AD623" s="268" t="s">
        <v>218</v>
      </c>
      <c r="AE623" s="269" t="s">
        <v>219</v>
      </c>
      <c r="AF623" s="268">
        <v>0</v>
      </c>
      <c r="AG623" s="239" t="s">
        <v>947</v>
      </c>
      <c r="AH623" s="239"/>
      <c r="AI623" s="239">
        <v>0</v>
      </c>
      <c r="AJ623" s="239">
        <v>0</v>
      </c>
    </row>
    <row r="624" spans="1:36" s="81" customFormat="1" ht="32.25" customHeight="1" x14ac:dyDescent="0.3">
      <c r="A624" s="80">
        <v>617</v>
      </c>
      <c r="B624" s="84" t="s">
        <v>196</v>
      </c>
      <c r="D624" s="240" t="s">
        <v>1396</v>
      </c>
      <c r="E624" s="239">
        <v>78</v>
      </c>
      <c r="F624" s="239"/>
      <c r="G624" s="239" t="s">
        <v>245</v>
      </c>
      <c r="H624" s="84" t="s">
        <v>1309</v>
      </c>
      <c r="I624" s="239" t="s">
        <v>886</v>
      </c>
      <c r="J624" s="118" t="s">
        <v>887</v>
      </c>
      <c r="K624" s="118"/>
      <c r="L624" s="118"/>
      <c r="M624" s="282">
        <v>1917</v>
      </c>
      <c r="N624" s="239" t="s">
        <v>318</v>
      </c>
      <c r="O624" s="239">
        <v>4</v>
      </c>
      <c r="P624" s="239">
        <v>0</v>
      </c>
      <c r="Q624" s="239">
        <v>1</v>
      </c>
      <c r="R624" s="239">
        <v>16</v>
      </c>
      <c r="S624" s="266">
        <f t="shared" si="14"/>
        <v>940.3</v>
      </c>
      <c r="T624" s="267">
        <v>940.3</v>
      </c>
      <c r="U624" s="267">
        <v>808</v>
      </c>
      <c r="V624" s="267">
        <v>0</v>
      </c>
      <c r="W624" s="268" t="s">
        <v>218</v>
      </c>
      <c r="X624" s="268" t="s">
        <v>218</v>
      </c>
      <c r="Y624" s="269" t="s">
        <v>219</v>
      </c>
      <c r="Z624" s="270" t="s">
        <v>218</v>
      </c>
      <c r="AA624" s="268" t="s">
        <v>218</v>
      </c>
      <c r="AB624" s="268" t="s">
        <v>218</v>
      </c>
      <c r="AC624" s="269" t="s">
        <v>218</v>
      </c>
      <c r="AD624" s="268" t="s">
        <v>218</v>
      </c>
      <c r="AE624" s="269" t="s">
        <v>219</v>
      </c>
      <c r="AF624" s="268">
        <v>0</v>
      </c>
      <c r="AG624" s="239">
        <v>1</v>
      </c>
      <c r="AH624" s="239"/>
      <c r="AI624" s="239">
        <v>0</v>
      </c>
      <c r="AJ624" s="239">
        <v>0</v>
      </c>
    </row>
    <row r="625" spans="1:36" s="81" customFormat="1" ht="32.25" customHeight="1" x14ac:dyDescent="0.3">
      <c r="A625" s="5">
        <v>618</v>
      </c>
      <c r="B625" s="84" t="s">
        <v>196</v>
      </c>
      <c r="D625" s="240" t="s">
        <v>1396</v>
      </c>
      <c r="E625" s="239">
        <v>8</v>
      </c>
      <c r="F625" s="239"/>
      <c r="G625" s="239" t="s">
        <v>245</v>
      </c>
      <c r="H625" s="84" t="s">
        <v>1310</v>
      </c>
      <c r="I625" s="239" t="s">
        <v>886</v>
      </c>
      <c r="J625" s="118" t="s">
        <v>904</v>
      </c>
      <c r="K625" s="118"/>
      <c r="L625" s="118"/>
      <c r="M625" s="239">
        <v>1894</v>
      </c>
      <c r="N625" s="239" t="s">
        <v>318</v>
      </c>
      <c r="O625" s="239">
        <v>4</v>
      </c>
      <c r="P625" s="239">
        <v>0</v>
      </c>
      <c r="Q625" s="239">
        <v>1</v>
      </c>
      <c r="R625" s="239">
        <v>21</v>
      </c>
      <c r="S625" s="266">
        <f t="shared" si="14"/>
        <v>2100.9</v>
      </c>
      <c r="T625" s="267">
        <v>2100.9</v>
      </c>
      <c r="U625" s="267">
        <v>1799.1</v>
      </c>
      <c r="V625" s="267">
        <v>87</v>
      </c>
      <c r="W625" s="268" t="s">
        <v>218</v>
      </c>
      <c r="X625" s="268" t="s">
        <v>218</v>
      </c>
      <c r="Y625" s="269" t="s">
        <v>219</v>
      </c>
      <c r="Z625" s="270" t="s">
        <v>218</v>
      </c>
      <c r="AA625" s="268" t="s">
        <v>218</v>
      </c>
      <c r="AB625" s="268" t="s">
        <v>218</v>
      </c>
      <c r="AC625" s="269" t="s">
        <v>218</v>
      </c>
      <c r="AD625" s="268" t="s">
        <v>218</v>
      </c>
      <c r="AE625" s="269" t="s">
        <v>219</v>
      </c>
      <c r="AF625" s="268">
        <v>1</v>
      </c>
      <c r="AG625" s="239">
        <v>1</v>
      </c>
      <c r="AH625" s="239"/>
      <c r="AI625" s="239">
        <v>0</v>
      </c>
      <c r="AJ625" s="239">
        <v>1</v>
      </c>
    </row>
    <row r="626" spans="1:36" s="81" customFormat="1" ht="32.25" customHeight="1" x14ac:dyDescent="0.3">
      <c r="A626" s="80">
        <v>619</v>
      </c>
      <c r="B626" s="84" t="s">
        <v>196</v>
      </c>
      <c r="D626" s="240" t="s">
        <v>1396</v>
      </c>
      <c r="E626" s="239">
        <v>91</v>
      </c>
      <c r="F626" s="239"/>
      <c r="G626" s="239" t="s">
        <v>245</v>
      </c>
      <c r="H626" s="84" t="s">
        <v>1311</v>
      </c>
      <c r="I626" s="239" t="s">
        <v>886</v>
      </c>
      <c r="J626" s="118" t="s">
        <v>903</v>
      </c>
      <c r="K626" s="118"/>
      <c r="L626" s="118"/>
      <c r="M626" s="239">
        <v>1903</v>
      </c>
      <c r="N626" s="239" t="s">
        <v>318</v>
      </c>
      <c r="O626" s="239">
        <v>5</v>
      </c>
      <c r="P626" s="239">
        <v>0</v>
      </c>
      <c r="Q626" s="239">
        <v>3</v>
      </c>
      <c r="R626" s="239">
        <v>25</v>
      </c>
      <c r="S626" s="266">
        <f t="shared" si="14"/>
        <v>18169.150000000001</v>
      </c>
      <c r="T626" s="267">
        <v>18169.150000000001</v>
      </c>
      <c r="U626" s="267">
        <v>17639.23</v>
      </c>
      <c r="V626" s="267">
        <v>0</v>
      </c>
      <c r="W626" s="268" t="s">
        <v>218</v>
      </c>
      <c r="X626" s="268" t="s">
        <v>218</v>
      </c>
      <c r="Y626" s="269" t="s">
        <v>219</v>
      </c>
      <c r="Z626" s="270" t="s">
        <v>218</v>
      </c>
      <c r="AA626" s="268" t="s">
        <v>218</v>
      </c>
      <c r="AB626" s="268" t="s">
        <v>218</v>
      </c>
      <c r="AC626" s="269" t="s">
        <v>218</v>
      </c>
      <c r="AD626" s="268" t="s">
        <v>218</v>
      </c>
      <c r="AE626" s="269" t="s">
        <v>219</v>
      </c>
      <c r="AF626" s="268">
        <v>0</v>
      </c>
      <c r="AG626" s="239">
        <v>1</v>
      </c>
      <c r="AH626" s="239"/>
      <c r="AI626" s="239">
        <v>0</v>
      </c>
      <c r="AJ626" s="239">
        <v>0</v>
      </c>
    </row>
    <row r="627" spans="1:36" s="81" customFormat="1" ht="32.25" customHeight="1" x14ac:dyDescent="0.3">
      <c r="A627" s="5">
        <v>620</v>
      </c>
      <c r="B627" s="84" t="s">
        <v>196</v>
      </c>
      <c r="D627" s="240" t="s">
        <v>832</v>
      </c>
      <c r="E627" s="239">
        <v>2</v>
      </c>
      <c r="F627" s="239">
        <v>1</v>
      </c>
      <c r="G627" s="239" t="s">
        <v>245</v>
      </c>
      <c r="H627" s="84" t="s">
        <v>1312</v>
      </c>
      <c r="I627" s="239" t="s">
        <v>886</v>
      </c>
      <c r="J627" s="239" t="s">
        <v>216</v>
      </c>
      <c r="K627" s="118" t="s">
        <v>948</v>
      </c>
      <c r="L627" s="239"/>
      <c r="M627" s="282">
        <v>1970</v>
      </c>
      <c r="N627" s="239" t="s">
        <v>318</v>
      </c>
      <c r="O627" s="282">
        <v>9</v>
      </c>
      <c r="P627" s="239">
        <v>0</v>
      </c>
      <c r="Q627" s="282">
        <v>9</v>
      </c>
      <c r="R627" s="239">
        <v>319</v>
      </c>
      <c r="S627" s="266">
        <f t="shared" si="14"/>
        <v>17295.400000000001</v>
      </c>
      <c r="T627" s="267">
        <v>17295.400000000001</v>
      </c>
      <c r="U627" s="267">
        <v>17210.38</v>
      </c>
      <c r="V627" s="267">
        <v>0</v>
      </c>
      <c r="W627" s="268" t="s">
        <v>218</v>
      </c>
      <c r="X627" s="268" t="s">
        <v>218</v>
      </c>
      <c r="Y627" s="269" t="s">
        <v>218</v>
      </c>
      <c r="Z627" s="270" t="s">
        <v>218</v>
      </c>
      <c r="AA627" s="268" t="s">
        <v>218</v>
      </c>
      <c r="AB627" s="268" t="s">
        <v>218</v>
      </c>
      <c r="AC627" s="269" t="s">
        <v>219</v>
      </c>
      <c r="AD627" s="268" t="s">
        <v>218</v>
      </c>
      <c r="AE627" s="269" t="s">
        <v>219</v>
      </c>
      <c r="AF627" s="268">
        <v>9</v>
      </c>
      <c r="AG627" s="239">
        <v>2</v>
      </c>
      <c r="AH627" s="239"/>
      <c r="AI627" s="239">
        <v>1</v>
      </c>
      <c r="AJ627" s="239">
        <v>1</v>
      </c>
    </row>
    <row r="628" spans="1:36" s="81" customFormat="1" ht="32.25" customHeight="1" x14ac:dyDescent="0.3">
      <c r="A628" s="80">
        <v>621</v>
      </c>
      <c r="B628" s="84" t="s">
        <v>196</v>
      </c>
      <c r="D628" s="240" t="s">
        <v>832</v>
      </c>
      <c r="E628" s="239">
        <v>2</v>
      </c>
      <c r="F628" s="239">
        <v>2</v>
      </c>
      <c r="G628" s="239" t="s">
        <v>245</v>
      </c>
      <c r="H628" s="84" t="s">
        <v>1313</v>
      </c>
      <c r="I628" s="239" t="s">
        <v>886</v>
      </c>
      <c r="J628" s="239" t="s">
        <v>216</v>
      </c>
      <c r="K628" s="118" t="s">
        <v>949</v>
      </c>
      <c r="L628" s="239"/>
      <c r="M628" s="282">
        <v>1968</v>
      </c>
      <c r="N628" s="239" t="s">
        <v>318</v>
      </c>
      <c r="O628" s="282">
        <v>5</v>
      </c>
      <c r="P628" s="239">
        <v>0</v>
      </c>
      <c r="Q628" s="282">
        <v>4</v>
      </c>
      <c r="R628" s="239">
        <v>80</v>
      </c>
      <c r="S628" s="266">
        <f t="shared" si="14"/>
        <v>3537.8</v>
      </c>
      <c r="T628" s="267">
        <v>3537.8</v>
      </c>
      <c r="U628" s="267">
        <v>3491.8</v>
      </c>
      <c r="V628" s="267">
        <v>0</v>
      </c>
      <c r="W628" s="268" t="s">
        <v>218</v>
      </c>
      <c r="X628" s="268" t="s">
        <v>218</v>
      </c>
      <c r="Y628" s="269" t="s">
        <v>218</v>
      </c>
      <c r="Z628" s="270" t="s">
        <v>218</v>
      </c>
      <c r="AA628" s="268" t="s">
        <v>218</v>
      </c>
      <c r="AB628" s="268" t="s">
        <v>218</v>
      </c>
      <c r="AC628" s="269" t="s">
        <v>219</v>
      </c>
      <c r="AD628" s="268" t="s">
        <v>218</v>
      </c>
      <c r="AE628" s="269" t="s">
        <v>219</v>
      </c>
      <c r="AF628" s="268">
        <v>0</v>
      </c>
      <c r="AG628" s="239">
        <v>1</v>
      </c>
      <c r="AH628" s="239"/>
      <c r="AI628" s="239">
        <v>1</v>
      </c>
      <c r="AJ628" s="239">
        <v>1</v>
      </c>
    </row>
    <row r="629" spans="1:36" s="81" customFormat="1" ht="32.25" customHeight="1" x14ac:dyDescent="0.3">
      <c r="A629" s="5">
        <v>622</v>
      </c>
      <c r="B629" s="84" t="s">
        <v>196</v>
      </c>
      <c r="D629" s="240" t="s">
        <v>832</v>
      </c>
      <c r="E629" s="239">
        <v>2</v>
      </c>
      <c r="F629" s="239">
        <v>3</v>
      </c>
      <c r="G629" s="239" t="s">
        <v>245</v>
      </c>
      <c r="H629" s="84" t="s">
        <v>1314</v>
      </c>
      <c r="I629" s="239" t="s">
        <v>886</v>
      </c>
      <c r="J629" s="239" t="s">
        <v>216</v>
      </c>
      <c r="K629" s="118" t="s">
        <v>950</v>
      </c>
      <c r="L629" s="239"/>
      <c r="M629" s="282">
        <v>1968</v>
      </c>
      <c r="N629" s="239" t="s">
        <v>318</v>
      </c>
      <c r="O629" s="282">
        <v>5</v>
      </c>
      <c r="P629" s="239">
        <v>0</v>
      </c>
      <c r="Q629" s="282">
        <v>8</v>
      </c>
      <c r="R629" s="239">
        <v>159</v>
      </c>
      <c r="S629" s="266">
        <f t="shared" si="14"/>
        <v>7079.31</v>
      </c>
      <c r="T629" s="267">
        <v>7079.31</v>
      </c>
      <c r="U629" s="267">
        <v>6987.75</v>
      </c>
      <c r="V629" s="267">
        <v>0</v>
      </c>
      <c r="W629" s="268" t="s">
        <v>218</v>
      </c>
      <c r="X629" s="268" t="s">
        <v>218</v>
      </c>
      <c r="Y629" s="269" t="s">
        <v>218</v>
      </c>
      <c r="Z629" s="270" t="s">
        <v>218</v>
      </c>
      <c r="AA629" s="268" t="s">
        <v>218</v>
      </c>
      <c r="AB629" s="268" t="s">
        <v>218</v>
      </c>
      <c r="AC629" s="269" t="s">
        <v>219</v>
      </c>
      <c r="AD629" s="268" t="s">
        <v>218</v>
      </c>
      <c r="AE629" s="269" t="s">
        <v>219</v>
      </c>
      <c r="AF629" s="268">
        <v>0</v>
      </c>
      <c r="AG629" s="239">
        <v>2</v>
      </c>
      <c r="AH629" s="239"/>
      <c r="AI629" s="239">
        <v>1</v>
      </c>
      <c r="AJ629" s="239">
        <v>1</v>
      </c>
    </row>
    <row r="630" spans="1:36" s="81" customFormat="1" ht="32.25" customHeight="1" x14ac:dyDescent="0.3">
      <c r="A630" s="80">
        <v>623</v>
      </c>
      <c r="B630" s="84" t="s">
        <v>196</v>
      </c>
      <c r="D630" s="240" t="s">
        <v>832</v>
      </c>
      <c r="E630" s="239">
        <v>4</v>
      </c>
      <c r="F630" s="239">
        <v>2</v>
      </c>
      <c r="G630" s="239" t="s">
        <v>245</v>
      </c>
      <c r="H630" s="84" t="s">
        <v>1315</v>
      </c>
      <c r="I630" s="239" t="s">
        <v>886</v>
      </c>
      <c r="J630" s="239" t="s">
        <v>318</v>
      </c>
      <c r="K630" s="118" t="s">
        <v>951</v>
      </c>
      <c r="L630" s="239"/>
      <c r="M630" s="282">
        <v>1970</v>
      </c>
      <c r="N630" s="239" t="s">
        <v>318</v>
      </c>
      <c r="O630" s="282">
        <v>9</v>
      </c>
      <c r="P630" s="239">
        <v>0</v>
      </c>
      <c r="Q630" s="282">
        <v>1</v>
      </c>
      <c r="R630" s="239">
        <v>45</v>
      </c>
      <c r="S630" s="266">
        <f t="shared" si="14"/>
        <v>2094.9299999999998</v>
      </c>
      <c r="T630" s="267">
        <v>2094.9299999999998</v>
      </c>
      <c r="U630" s="267">
        <v>2003.53</v>
      </c>
      <c r="V630" s="267">
        <v>43.3</v>
      </c>
      <c r="W630" s="268" t="s">
        <v>218</v>
      </c>
      <c r="X630" s="268" t="s">
        <v>218</v>
      </c>
      <c r="Y630" s="269" t="s">
        <v>218</v>
      </c>
      <c r="Z630" s="270" t="s">
        <v>218</v>
      </c>
      <c r="AA630" s="268" t="s">
        <v>218</v>
      </c>
      <c r="AB630" s="268" t="s">
        <v>218</v>
      </c>
      <c r="AC630" s="269" t="s">
        <v>219</v>
      </c>
      <c r="AD630" s="268" t="s">
        <v>218</v>
      </c>
      <c r="AE630" s="269" t="s">
        <v>219</v>
      </c>
      <c r="AF630" s="268">
        <v>1</v>
      </c>
      <c r="AG630" s="239">
        <v>2</v>
      </c>
      <c r="AH630" s="239"/>
      <c r="AI630" s="239">
        <v>1</v>
      </c>
      <c r="AJ630" s="239">
        <v>1</v>
      </c>
    </row>
    <row r="631" spans="1:36" s="81" customFormat="1" ht="32.25" customHeight="1" x14ac:dyDescent="0.3">
      <c r="A631" s="5">
        <v>624</v>
      </c>
      <c r="B631" s="84" t="s">
        <v>196</v>
      </c>
      <c r="D631" s="240" t="s">
        <v>832</v>
      </c>
      <c r="E631" s="239">
        <v>4</v>
      </c>
      <c r="F631" s="239">
        <v>3</v>
      </c>
      <c r="G631" s="239" t="s">
        <v>245</v>
      </c>
      <c r="H631" s="84" t="s">
        <v>1316</v>
      </c>
      <c r="I631" s="239" t="s">
        <v>886</v>
      </c>
      <c r="J631" s="239" t="s">
        <v>318</v>
      </c>
      <c r="K631" s="118" t="s">
        <v>951</v>
      </c>
      <c r="L631" s="239"/>
      <c r="M631" s="282">
        <v>1970</v>
      </c>
      <c r="N631" s="239" t="s">
        <v>318</v>
      </c>
      <c r="O631" s="282">
        <v>9</v>
      </c>
      <c r="P631" s="239">
        <v>0</v>
      </c>
      <c r="Q631" s="282">
        <v>1</v>
      </c>
      <c r="R631" s="239">
        <v>45</v>
      </c>
      <c r="S631" s="266">
        <f t="shared" si="14"/>
        <v>2102.17</v>
      </c>
      <c r="T631" s="267">
        <v>2102.17</v>
      </c>
      <c r="U631" s="267">
        <v>1996.7</v>
      </c>
      <c r="V631" s="267">
        <v>0</v>
      </c>
      <c r="W631" s="268" t="s">
        <v>218</v>
      </c>
      <c r="X631" s="268" t="s">
        <v>218</v>
      </c>
      <c r="Y631" s="269" t="s">
        <v>218</v>
      </c>
      <c r="Z631" s="270" t="s">
        <v>218</v>
      </c>
      <c r="AA631" s="268" t="s">
        <v>218</v>
      </c>
      <c r="AB631" s="268" t="s">
        <v>218</v>
      </c>
      <c r="AC631" s="269" t="s">
        <v>219</v>
      </c>
      <c r="AD631" s="268" t="s">
        <v>218</v>
      </c>
      <c r="AE631" s="269" t="s">
        <v>219</v>
      </c>
      <c r="AF631" s="268">
        <v>1</v>
      </c>
      <c r="AG631" s="239">
        <v>2</v>
      </c>
      <c r="AH631" s="239"/>
      <c r="AI631" s="239">
        <v>1</v>
      </c>
      <c r="AJ631" s="239">
        <v>1</v>
      </c>
    </row>
    <row r="632" spans="1:36" s="81" customFormat="1" ht="32.25" customHeight="1" x14ac:dyDescent="0.3">
      <c r="A632" s="80">
        <v>625</v>
      </c>
      <c r="B632" s="84" t="s">
        <v>196</v>
      </c>
      <c r="D632" s="240" t="s">
        <v>832</v>
      </c>
      <c r="E632" s="239">
        <v>4</v>
      </c>
      <c r="F632" s="239">
        <v>4</v>
      </c>
      <c r="G632" s="239" t="s">
        <v>245</v>
      </c>
      <c r="H632" s="84" t="s">
        <v>1317</v>
      </c>
      <c r="I632" s="239" t="s">
        <v>886</v>
      </c>
      <c r="J632" s="239" t="s">
        <v>318</v>
      </c>
      <c r="K632" s="118" t="s">
        <v>951</v>
      </c>
      <c r="L632" s="239"/>
      <c r="M632" s="282">
        <v>1970</v>
      </c>
      <c r="N632" s="239" t="s">
        <v>318</v>
      </c>
      <c r="O632" s="282">
        <v>9</v>
      </c>
      <c r="P632" s="239">
        <v>0</v>
      </c>
      <c r="Q632" s="282">
        <v>1</v>
      </c>
      <c r="R632" s="239">
        <v>45</v>
      </c>
      <c r="S632" s="266">
        <f t="shared" si="14"/>
        <v>2090.5100000000002</v>
      </c>
      <c r="T632" s="267">
        <v>2090.5100000000002</v>
      </c>
      <c r="U632" s="267">
        <v>1984.86</v>
      </c>
      <c r="V632" s="267">
        <v>0</v>
      </c>
      <c r="W632" s="268" t="s">
        <v>218</v>
      </c>
      <c r="X632" s="268" t="s">
        <v>218</v>
      </c>
      <c r="Y632" s="269" t="s">
        <v>218</v>
      </c>
      <c r="Z632" s="270" t="s">
        <v>218</v>
      </c>
      <c r="AA632" s="268" t="s">
        <v>218</v>
      </c>
      <c r="AB632" s="268" t="s">
        <v>218</v>
      </c>
      <c r="AC632" s="269" t="s">
        <v>219</v>
      </c>
      <c r="AD632" s="268" t="s">
        <v>218</v>
      </c>
      <c r="AE632" s="269" t="s">
        <v>219</v>
      </c>
      <c r="AF632" s="268">
        <v>1</v>
      </c>
      <c r="AG632" s="239">
        <v>2</v>
      </c>
      <c r="AH632" s="239"/>
      <c r="AI632" s="239">
        <v>1</v>
      </c>
      <c r="AJ632" s="239">
        <v>1</v>
      </c>
    </row>
    <row r="633" spans="1:36" s="81" customFormat="1" ht="32.25" customHeight="1" x14ac:dyDescent="0.3">
      <c r="A633" s="5">
        <v>626</v>
      </c>
      <c r="B633" s="84" t="s">
        <v>196</v>
      </c>
      <c r="D633" s="240" t="s">
        <v>832</v>
      </c>
      <c r="E633" s="239">
        <v>6</v>
      </c>
      <c r="F633" s="239">
        <v>1</v>
      </c>
      <c r="G633" s="239" t="s">
        <v>245</v>
      </c>
      <c r="H633" s="84" t="s">
        <v>1318</v>
      </c>
      <c r="I633" s="239" t="s">
        <v>886</v>
      </c>
      <c r="J633" s="239"/>
      <c r="K633" s="118" t="s">
        <v>912</v>
      </c>
      <c r="L633" s="239"/>
      <c r="M633" s="282">
        <v>1968</v>
      </c>
      <c r="N633" s="239" t="s">
        <v>318</v>
      </c>
      <c r="O633" s="282">
        <v>9</v>
      </c>
      <c r="P633" s="239">
        <v>0</v>
      </c>
      <c r="Q633" s="282">
        <v>6</v>
      </c>
      <c r="R633" s="239">
        <v>207</v>
      </c>
      <c r="S633" s="266">
        <f t="shared" si="14"/>
        <v>11179.18</v>
      </c>
      <c r="T633" s="267">
        <v>11179.18</v>
      </c>
      <c r="U633" s="267">
        <v>11075.12</v>
      </c>
      <c r="V633" s="267">
        <v>476.3</v>
      </c>
      <c r="W633" s="268" t="s">
        <v>218</v>
      </c>
      <c r="X633" s="268" t="s">
        <v>218</v>
      </c>
      <c r="Y633" s="269" t="s">
        <v>218</v>
      </c>
      <c r="Z633" s="270" t="s">
        <v>218</v>
      </c>
      <c r="AA633" s="268" t="s">
        <v>218</v>
      </c>
      <c r="AB633" s="268" t="s">
        <v>218</v>
      </c>
      <c r="AC633" s="269" t="s">
        <v>219</v>
      </c>
      <c r="AD633" s="268" t="s">
        <v>218</v>
      </c>
      <c r="AE633" s="269" t="s">
        <v>219</v>
      </c>
      <c r="AF633" s="268">
        <v>6</v>
      </c>
      <c r="AG633" s="239">
        <v>1</v>
      </c>
      <c r="AH633" s="239"/>
      <c r="AI633" s="239">
        <v>1</v>
      </c>
      <c r="AJ633" s="239">
        <v>1</v>
      </c>
    </row>
    <row r="634" spans="1:36" s="81" customFormat="1" ht="32.25" customHeight="1" x14ac:dyDescent="0.3">
      <c r="A634" s="80">
        <v>627</v>
      </c>
      <c r="B634" s="84" t="s">
        <v>196</v>
      </c>
      <c r="D634" s="240" t="s">
        <v>832</v>
      </c>
      <c r="E634" s="239">
        <v>6</v>
      </c>
      <c r="F634" s="239">
        <v>2</v>
      </c>
      <c r="G634" s="239" t="s">
        <v>245</v>
      </c>
      <c r="H634" s="84" t="s">
        <v>1319</v>
      </c>
      <c r="I634" s="239" t="s">
        <v>886</v>
      </c>
      <c r="J634" s="239"/>
      <c r="K634" s="118" t="s">
        <v>952</v>
      </c>
      <c r="L634" s="239"/>
      <c r="M634" s="282">
        <v>1968</v>
      </c>
      <c r="N634" s="239" t="s">
        <v>318</v>
      </c>
      <c r="O634" s="282">
        <v>5</v>
      </c>
      <c r="P634" s="239">
        <v>0</v>
      </c>
      <c r="Q634" s="282">
        <v>4</v>
      </c>
      <c r="R634" s="239">
        <v>80</v>
      </c>
      <c r="S634" s="266">
        <f t="shared" si="14"/>
        <v>3497.04</v>
      </c>
      <c r="T634" s="267">
        <v>3497.04</v>
      </c>
      <c r="U634" s="267">
        <v>3497.04</v>
      </c>
      <c r="V634" s="267">
        <v>0</v>
      </c>
      <c r="W634" s="268" t="s">
        <v>218</v>
      </c>
      <c r="X634" s="268" t="s">
        <v>218</v>
      </c>
      <c r="Y634" s="269" t="s">
        <v>218</v>
      </c>
      <c r="Z634" s="270" t="s">
        <v>218</v>
      </c>
      <c r="AA634" s="268" t="s">
        <v>218</v>
      </c>
      <c r="AB634" s="268" t="s">
        <v>218</v>
      </c>
      <c r="AC634" s="269" t="s">
        <v>219</v>
      </c>
      <c r="AD634" s="268" t="s">
        <v>218</v>
      </c>
      <c r="AE634" s="269" t="s">
        <v>219</v>
      </c>
      <c r="AF634" s="268">
        <v>0</v>
      </c>
      <c r="AG634" s="239">
        <v>3</v>
      </c>
      <c r="AH634" s="239"/>
      <c r="AI634" s="239">
        <v>1</v>
      </c>
      <c r="AJ634" s="239">
        <v>1</v>
      </c>
    </row>
    <row r="635" spans="1:36" s="81" customFormat="1" ht="32.25" customHeight="1" x14ac:dyDescent="0.3">
      <c r="A635" s="5">
        <v>628</v>
      </c>
      <c r="B635" s="84" t="s">
        <v>196</v>
      </c>
      <c r="D635" s="240" t="s">
        <v>1400</v>
      </c>
      <c r="E635" s="239">
        <v>10</v>
      </c>
      <c r="F635" s="239">
        <v>4</v>
      </c>
      <c r="G635" s="239" t="s">
        <v>245</v>
      </c>
      <c r="H635" s="84" t="s">
        <v>1320</v>
      </c>
      <c r="I635" s="239" t="s">
        <v>886</v>
      </c>
      <c r="J635" s="239" t="s">
        <v>216</v>
      </c>
      <c r="K635" s="118" t="s">
        <v>953</v>
      </c>
      <c r="L635" s="239"/>
      <c r="M635" s="282">
        <v>1988</v>
      </c>
      <c r="N635" s="239" t="s">
        <v>318</v>
      </c>
      <c r="O635" s="282">
        <v>9</v>
      </c>
      <c r="P635" s="239">
        <v>0</v>
      </c>
      <c r="Q635" s="282">
        <v>11</v>
      </c>
      <c r="R635" s="239">
        <v>430</v>
      </c>
      <c r="S635" s="266">
        <f t="shared" si="14"/>
        <v>21723</v>
      </c>
      <c r="T635" s="267">
        <v>21723</v>
      </c>
      <c r="U635" s="267">
        <v>21482.7</v>
      </c>
      <c r="V635" s="267">
        <v>0</v>
      </c>
      <c r="W635" s="268" t="s">
        <v>218</v>
      </c>
      <c r="X635" s="268" t="s">
        <v>218</v>
      </c>
      <c r="Y635" s="269" t="s">
        <v>218</v>
      </c>
      <c r="Z635" s="270" t="s">
        <v>218</v>
      </c>
      <c r="AA635" s="268" t="s">
        <v>218</v>
      </c>
      <c r="AB635" s="268" t="s">
        <v>218</v>
      </c>
      <c r="AC635" s="269" t="s">
        <v>219</v>
      </c>
      <c r="AD635" s="268" t="s">
        <v>218</v>
      </c>
      <c r="AE635" s="269" t="s">
        <v>219</v>
      </c>
      <c r="AF635" s="268">
        <v>11</v>
      </c>
      <c r="AG635" s="239">
        <v>3</v>
      </c>
      <c r="AH635" s="239"/>
      <c r="AI635" s="239">
        <v>1</v>
      </c>
      <c r="AJ635" s="239">
        <v>1</v>
      </c>
    </row>
    <row r="636" spans="1:36" s="81" customFormat="1" ht="32.25" customHeight="1" x14ac:dyDescent="0.3">
      <c r="A636" s="80">
        <v>629</v>
      </c>
      <c r="B636" s="84" t="s">
        <v>196</v>
      </c>
      <c r="D636" s="240" t="s">
        <v>1400</v>
      </c>
      <c r="E636" s="239">
        <v>12</v>
      </c>
      <c r="F636" s="239">
        <v>2</v>
      </c>
      <c r="G636" s="239" t="s">
        <v>245</v>
      </c>
      <c r="H636" s="84" t="s">
        <v>1321</v>
      </c>
      <c r="I636" s="239" t="s">
        <v>247</v>
      </c>
      <c r="J636" s="239"/>
      <c r="K636" s="118" t="s">
        <v>954</v>
      </c>
      <c r="L636" s="239"/>
      <c r="M636" s="282">
        <v>1972</v>
      </c>
      <c r="N636" s="239" t="s">
        <v>318</v>
      </c>
      <c r="O636" s="282">
        <v>9</v>
      </c>
      <c r="P636" s="239">
        <v>0</v>
      </c>
      <c r="Q636" s="282">
        <v>4</v>
      </c>
      <c r="R636" s="239">
        <v>208</v>
      </c>
      <c r="S636" s="266">
        <f t="shared" si="14"/>
        <v>9858.6</v>
      </c>
      <c r="T636" s="267">
        <v>9858.6</v>
      </c>
      <c r="U636" s="267">
        <v>9752.2000000000007</v>
      </c>
      <c r="V636" s="267">
        <v>0</v>
      </c>
      <c r="W636" s="268" t="s">
        <v>218</v>
      </c>
      <c r="X636" s="268" t="s">
        <v>218</v>
      </c>
      <c r="Y636" s="269" t="s">
        <v>218</v>
      </c>
      <c r="Z636" s="270" t="s">
        <v>218</v>
      </c>
      <c r="AA636" s="268" t="s">
        <v>218</v>
      </c>
      <c r="AB636" s="268" t="s">
        <v>218</v>
      </c>
      <c r="AC636" s="269" t="s">
        <v>219</v>
      </c>
      <c r="AD636" s="268" t="s">
        <v>218</v>
      </c>
      <c r="AE636" s="269" t="s">
        <v>219</v>
      </c>
      <c r="AF636" s="268">
        <v>4</v>
      </c>
      <c r="AG636" s="239">
        <v>2</v>
      </c>
      <c r="AH636" s="239"/>
      <c r="AI636" s="239">
        <v>0</v>
      </c>
      <c r="AJ636" s="239">
        <v>0</v>
      </c>
    </row>
    <row r="637" spans="1:36" s="81" customFormat="1" ht="32.25" customHeight="1" x14ac:dyDescent="0.3">
      <c r="A637" s="5">
        <v>630</v>
      </c>
      <c r="B637" s="84" t="s">
        <v>196</v>
      </c>
      <c r="D637" s="240" t="s">
        <v>1400</v>
      </c>
      <c r="E637" s="239">
        <v>12</v>
      </c>
      <c r="F637" s="239">
        <v>3</v>
      </c>
      <c r="G637" s="239" t="s">
        <v>245</v>
      </c>
      <c r="H637" s="84" t="s">
        <v>1322</v>
      </c>
      <c r="I637" s="239" t="s">
        <v>247</v>
      </c>
      <c r="J637" s="239"/>
      <c r="K637" s="118" t="s">
        <v>387</v>
      </c>
      <c r="L637" s="239"/>
      <c r="M637" s="282">
        <v>1972</v>
      </c>
      <c r="N637" s="239" t="s">
        <v>318</v>
      </c>
      <c r="O637" s="282">
        <v>5</v>
      </c>
      <c r="P637" s="239">
        <v>0</v>
      </c>
      <c r="Q637" s="282">
        <v>6</v>
      </c>
      <c r="R637" s="239">
        <v>90</v>
      </c>
      <c r="S637" s="266">
        <f t="shared" si="14"/>
        <v>4350.16</v>
      </c>
      <c r="T637" s="267">
        <v>4350.16</v>
      </c>
      <c r="U637" s="267">
        <v>4290.95</v>
      </c>
      <c r="V637" s="267">
        <v>0</v>
      </c>
      <c r="W637" s="268" t="s">
        <v>218</v>
      </c>
      <c r="X637" s="268" t="s">
        <v>218</v>
      </c>
      <c r="Y637" s="269" t="s">
        <v>218</v>
      </c>
      <c r="Z637" s="270" t="s">
        <v>218</v>
      </c>
      <c r="AA637" s="268" t="s">
        <v>218</v>
      </c>
      <c r="AB637" s="268" t="s">
        <v>218</v>
      </c>
      <c r="AC637" s="269" t="s">
        <v>219</v>
      </c>
      <c r="AD637" s="268" t="s">
        <v>218</v>
      </c>
      <c r="AE637" s="269" t="s">
        <v>219</v>
      </c>
      <c r="AF637" s="268">
        <v>0</v>
      </c>
      <c r="AG637" s="239">
        <v>1</v>
      </c>
      <c r="AH637" s="239"/>
      <c r="AI637" s="239">
        <v>0</v>
      </c>
      <c r="AJ637" s="239">
        <v>0</v>
      </c>
    </row>
    <row r="638" spans="1:36" s="275" customFormat="1" ht="32.25" customHeight="1" x14ac:dyDescent="0.3">
      <c r="A638" s="80">
        <v>631</v>
      </c>
      <c r="B638" s="84" t="s">
        <v>196</v>
      </c>
      <c r="D638" s="240" t="s">
        <v>1400</v>
      </c>
      <c r="E638" s="277">
        <v>16</v>
      </c>
      <c r="F638" s="277">
        <v>1</v>
      </c>
      <c r="G638" s="239" t="s">
        <v>245</v>
      </c>
      <c r="H638" s="84" t="s">
        <v>1323</v>
      </c>
      <c r="I638" s="239" t="s">
        <v>886</v>
      </c>
      <c r="J638" s="277" t="s">
        <v>318</v>
      </c>
      <c r="K638" s="279" t="s">
        <v>955</v>
      </c>
      <c r="L638" s="277"/>
      <c r="M638" s="282">
        <v>1979</v>
      </c>
      <c r="N638" s="239" t="s">
        <v>318</v>
      </c>
      <c r="O638" s="282">
        <v>9</v>
      </c>
      <c r="P638" s="239">
        <v>0</v>
      </c>
      <c r="Q638" s="282">
        <v>8</v>
      </c>
      <c r="R638" s="277">
        <v>331</v>
      </c>
      <c r="S638" s="266">
        <f t="shared" si="14"/>
        <v>5947</v>
      </c>
      <c r="T638" s="267">
        <v>5947</v>
      </c>
      <c r="U638" s="267">
        <v>5442.6</v>
      </c>
      <c r="V638" s="267">
        <v>400.1</v>
      </c>
      <c r="W638" s="269" t="s">
        <v>218</v>
      </c>
      <c r="X638" s="269" t="s">
        <v>218</v>
      </c>
      <c r="Y638" s="269" t="s">
        <v>218</v>
      </c>
      <c r="Z638" s="270" t="s">
        <v>218</v>
      </c>
      <c r="AA638" s="269" t="s">
        <v>218</v>
      </c>
      <c r="AB638" s="269" t="s">
        <v>219</v>
      </c>
      <c r="AC638" s="269" t="s">
        <v>219</v>
      </c>
      <c r="AD638" s="269" t="s">
        <v>219</v>
      </c>
      <c r="AE638" s="269" t="s">
        <v>218</v>
      </c>
      <c r="AF638" s="269">
        <v>2</v>
      </c>
      <c r="AG638" s="277">
        <v>2</v>
      </c>
      <c r="AH638" s="277"/>
      <c r="AI638" s="277">
        <v>1</v>
      </c>
      <c r="AJ638" s="277">
        <v>1</v>
      </c>
    </row>
    <row r="639" spans="1:36" s="275" customFormat="1" ht="32.25" customHeight="1" x14ac:dyDescent="0.3">
      <c r="A639" s="5">
        <v>632</v>
      </c>
      <c r="B639" s="84" t="s">
        <v>196</v>
      </c>
      <c r="D639" s="240" t="s">
        <v>1400</v>
      </c>
      <c r="E639" s="277">
        <v>16</v>
      </c>
      <c r="F639" s="277">
        <v>2</v>
      </c>
      <c r="G639" s="239" t="s">
        <v>245</v>
      </c>
      <c r="H639" s="84" t="s">
        <v>1324</v>
      </c>
      <c r="I639" s="239" t="s">
        <v>247</v>
      </c>
      <c r="J639" s="277"/>
      <c r="K639" s="279" t="s">
        <v>387</v>
      </c>
      <c r="L639" s="277"/>
      <c r="M639" s="282">
        <v>1972</v>
      </c>
      <c r="N639" s="239" t="s">
        <v>318</v>
      </c>
      <c r="O639" s="282">
        <v>5</v>
      </c>
      <c r="P639" s="239">
        <v>0</v>
      </c>
      <c r="Q639" s="282">
        <v>6</v>
      </c>
      <c r="R639" s="277">
        <v>90</v>
      </c>
      <c r="S639" s="266">
        <f t="shared" si="14"/>
        <v>4337</v>
      </c>
      <c r="T639" s="267">
        <v>4337</v>
      </c>
      <c r="U639" s="267">
        <v>4277.7</v>
      </c>
      <c r="V639" s="267">
        <v>0</v>
      </c>
      <c r="W639" s="269" t="s">
        <v>218</v>
      </c>
      <c r="X639" s="269" t="s">
        <v>218</v>
      </c>
      <c r="Y639" s="269" t="s">
        <v>218</v>
      </c>
      <c r="Z639" s="270" t="s">
        <v>218</v>
      </c>
      <c r="AA639" s="269" t="s">
        <v>218</v>
      </c>
      <c r="AB639" s="269" t="s">
        <v>218</v>
      </c>
      <c r="AC639" s="269" t="s">
        <v>219</v>
      </c>
      <c r="AD639" s="269" t="s">
        <v>218</v>
      </c>
      <c r="AE639" s="269" t="s">
        <v>219</v>
      </c>
      <c r="AF639" s="269">
        <v>0</v>
      </c>
      <c r="AG639" s="277">
        <v>1</v>
      </c>
      <c r="AH639" s="277"/>
      <c r="AI639" s="277">
        <v>0</v>
      </c>
      <c r="AJ639" s="277">
        <v>0</v>
      </c>
    </row>
    <row r="640" spans="1:36" s="275" customFormat="1" ht="32.25" customHeight="1" x14ac:dyDescent="0.3">
      <c r="A640" s="80">
        <v>633</v>
      </c>
      <c r="B640" s="84" t="s">
        <v>196</v>
      </c>
      <c r="D640" s="240" t="s">
        <v>1400</v>
      </c>
      <c r="E640" s="277">
        <v>16</v>
      </c>
      <c r="F640" s="277">
        <v>3</v>
      </c>
      <c r="G640" s="239" t="s">
        <v>245</v>
      </c>
      <c r="H640" s="84" t="s">
        <v>1325</v>
      </c>
      <c r="I640" s="239" t="s">
        <v>886</v>
      </c>
      <c r="J640" s="277" t="s">
        <v>216</v>
      </c>
      <c r="K640" s="279" t="s">
        <v>954</v>
      </c>
      <c r="L640" s="277"/>
      <c r="M640" s="282">
        <v>1972</v>
      </c>
      <c r="N640" s="239" t="s">
        <v>318</v>
      </c>
      <c r="O640" s="282">
        <v>9</v>
      </c>
      <c r="P640" s="239">
        <v>0</v>
      </c>
      <c r="Q640" s="282">
        <v>4</v>
      </c>
      <c r="R640" s="277">
        <v>208</v>
      </c>
      <c r="S640" s="266">
        <f t="shared" si="14"/>
        <v>9834.6</v>
      </c>
      <c r="T640" s="267">
        <v>9834.6</v>
      </c>
      <c r="U640" s="267">
        <v>9672.35</v>
      </c>
      <c r="V640" s="267">
        <v>0</v>
      </c>
      <c r="W640" s="269" t="s">
        <v>218</v>
      </c>
      <c r="X640" s="269" t="s">
        <v>218</v>
      </c>
      <c r="Y640" s="269" t="s">
        <v>218</v>
      </c>
      <c r="Z640" s="270" t="s">
        <v>218</v>
      </c>
      <c r="AA640" s="269" t="s">
        <v>218</v>
      </c>
      <c r="AB640" s="269" t="s">
        <v>218</v>
      </c>
      <c r="AC640" s="269" t="s">
        <v>219</v>
      </c>
      <c r="AD640" s="269" t="s">
        <v>218</v>
      </c>
      <c r="AE640" s="269" t="s">
        <v>219</v>
      </c>
      <c r="AF640" s="269">
        <v>4</v>
      </c>
      <c r="AG640" s="277">
        <v>2</v>
      </c>
      <c r="AH640" s="277"/>
      <c r="AI640" s="277">
        <v>1</v>
      </c>
      <c r="AJ640" s="277">
        <v>1</v>
      </c>
    </row>
    <row r="641" spans="1:38" s="275" customFormat="1" ht="32.25" customHeight="1" x14ac:dyDescent="0.3">
      <c r="A641" s="5">
        <v>634</v>
      </c>
      <c r="B641" s="84" t="s">
        <v>196</v>
      </c>
      <c r="D641" s="240" t="s">
        <v>1400</v>
      </c>
      <c r="E641" s="277">
        <v>4</v>
      </c>
      <c r="F641" s="277">
        <v>1</v>
      </c>
      <c r="G641" s="239" t="s">
        <v>245</v>
      </c>
      <c r="H641" s="84" t="s">
        <v>1326</v>
      </c>
      <c r="I641" s="239" t="s">
        <v>886</v>
      </c>
      <c r="J641" s="277" t="s">
        <v>216</v>
      </c>
      <c r="K641" s="279" t="s">
        <v>387</v>
      </c>
      <c r="L641" s="277"/>
      <c r="M641" s="282">
        <v>1972</v>
      </c>
      <c r="N641" s="239" t="s">
        <v>318</v>
      </c>
      <c r="O641" s="277">
        <v>9</v>
      </c>
      <c r="P641" s="239">
        <v>0</v>
      </c>
      <c r="Q641" s="277">
        <v>13</v>
      </c>
      <c r="R641" s="277">
        <v>476</v>
      </c>
      <c r="S641" s="266">
        <f t="shared" si="14"/>
        <v>25478.1</v>
      </c>
      <c r="T641" s="267">
        <v>25478.1</v>
      </c>
      <c r="U641" s="267">
        <v>25122.2</v>
      </c>
      <c r="V641" s="267">
        <v>79.099999999999994</v>
      </c>
      <c r="W641" s="269" t="s">
        <v>218</v>
      </c>
      <c r="X641" s="269" t="s">
        <v>218</v>
      </c>
      <c r="Y641" s="269" t="s">
        <v>218</v>
      </c>
      <c r="Z641" s="270" t="s">
        <v>218</v>
      </c>
      <c r="AA641" s="269" t="s">
        <v>218</v>
      </c>
      <c r="AB641" s="269" t="s">
        <v>218</v>
      </c>
      <c r="AC641" s="269" t="s">
        <v>219</v>
      </c>
      <c r="AD641" s="269" t="s">
        <v>218</v>
      </c>
      <c r="AE641" s="269" t="s">
        <v>219</v>
      </c>
      <c r="AF641" s="269">
        <v>13</v>
      </c>
      <c r="AG641" s="277">
        <v>4</v>
      </c>
      <c r="AH641" s="277"/>
      <c r="AI641" s="277">
        <v>1</v>
      </c>
      <c r="AJ641" s="277">
        <v>1</v>
      </c>
    </row>
    <row r="642" spans="1:38" s="275" customFormat="1" ht="32.25" customHeight="1" x14ac:dyDescent="0.3">
      <c r="A642" s="80">
        <v>635</v>
      </c>
      <c r="B642" s="84" t="s">
        <v>196</v>
      </c>
      <c r="D642" s="276" t="s">
        <v>1401</v>
      </c>
      <c r="E642" s="277">
        <v>20</v>
      </c>
      <c r="F642" s="277"/>
      <c r="G642" s="239" t="s">
        <v>245</v>
      </c>
      <c r="H642" s="84" t="s">
        <v>1327</v>
      </c>
      <c r="I642" s="239" t="s">
        <v>886</v>
      </c>
      <c r="J642" s="277" t="s">
        <v>887</v>
      </c>
      <c r="K642" s="279"/>
      <c r="L642" s="277"/>
      <c r="M642" s="282">
        <v>1955</v>
      </c>
      <c r="N642" s="239" t="s">
        <v>318</v>
      </c>
      <c r="O642" s="282">
        <v>5</v>
      </c>
      <c r="P642" s="239">
        <v>0</v>
      </c>
      <c r="Q642" s="282">
        <v>5</v>
      </c>
      <c r="R642" s="277">
        <v>60</v>
      </c>
      <c r="S642" s="266">
        <f t="shared" si="14"/>
        <v>4564.6000000000004</v>
      </c>
      <c r="T642" s="267">
        <v>4564.6000000000004</v>
      </c>
      <c r="U642" s="267">
        <v>3393.9</v>
      </c>
      <c r="V642" s="267">
        <v>258.5</v>
      </c>
      <c r="W642" s="269" t="s">
        <v>218</v>
      </c>
      <c r="X642" s="269" t="s">
        <v>218</v>
      </c>
      <c r="Y642" s="269" t="s">
        <v>219</v>
      </c>
      <c r="Z642" s="270" t="s">
        <v>218</v>
      </c>
      <c r="AA642" s="269" t="s">
        <v>218</v>
      </c>
      <c r="AB642" s="269" t="s">
        <v>218</v>
      </c>
      <c r="AC642" s="269" t="s">
        <v>218</v>
      </c>
      <c r="AD642" s="269" t="s">
        <v>218</v>
      </c>
      <c r="AE642" s="269" t="s">
        <v>219</v>
      </c>
      <c r="AF642" s="269">
        <v>0</v>
      </c>
      <c r="AG642" s="277">
        <v>1</v>
      </c>
      <c r="AH642" s="277"/>
      <c r="AI642" s="277">
        <v>0</v>
      </c>
      <c r="AJ642" s="277">
        <v>1</v>
      </c>
    </row>
    <row r="643" spans="1:38" s="275" customFormat="1" ht="32.25" customHeight="1" x14ac:dyDescent="0.3">
      <c r="A643" s="5">
        <v>636</v>
      </c>
      <c r="B643" s="84" t="s">
        <v>196</v>
      </c>
      <c r="D643" s="276" t="s">
        <v>1401</v>
      </c>
      <c r="E643" s="277">
        <v>22</v>
      </c>
      <c r="F643" s="277"/>
      <c r="G643" s="239" t="s">
        <v>245</v>
      </c>
      <c r="H643" s="84" t="s">
        <v>1328</v>
      </c>
      <c r="I643" s="239" t="s">
        <v>886</v>
      </c>
      <c r="J643" s="277" t="s">
        <v>887</v>
      </c>
      <c r="K643" s="279"/>
      <c r="L643" s="277"/>
      <c r="M643" s="282">
        <v>1951</v>
      </c>
      <c r="N643" s="239" t="s">
        <v>318</v>
      </c>
      <c r="O643" s="282">
        <v>3</v>
      </c>
      <c r="P643" s="239">
        <v>0</v>
      </c>
      <c r="Q643" s="282">
        <v>5</v>
      </c>
      <c r="R643" s="277">
        <v>43</v>
      </c>
      <c r="S643" s="266">
        <f t="shared" si="14"/>
        <v>3012.4</v>
      </c>
      <c r="T643" s="267">
        <v>3012.4</v>
      </c>
      <c r="U643" s="267">
        <v>2638.3</v>
      </c>
      <c r="V643" s="267">
        <v>363.5</v>
      </c>
      <c r="W643" s="269" t="s">
        <v>218</v>
      </c>
      <c r="X643" s="269" t="s">
        <v>218</v>
      </c>
      <c r="Y643" s="269" t="s">
        <v>219</v>
      </c>
      <c r="Z643" s="270" t="s">
        <v>218</v>
      </c>
      <c r="AA643" s="269" t="s">
        <v>218</v>
      </c>
      <c r="AB643" s="269" t="s">
        <v>218</v>
      </c>
      <c r="AC643" s="269" t="s">
        <v>218</v>
      </c>
      <c r="AD643" s="269" t="s">
        <v>218</v>
      </c>
      <c r="AE643" s="269" t="s">
        <v>219</v>
      </c>
      <c r="AF643" s="269">
        <v>0</v>
      </c>
      <c r="AG643" s="277">
        <v>1</v>
      </c>
      <c r="AH643" s="277"/>
      <c r="AI643" s="277">
        <v>0</v>
      </c>
      <c r="AJ643" s="277">
        <v>1</v>
      </c>
    </row>
    <row r="644" spans="1:38" s="275" customFormat="1" ht="32.25" customHeight="1" x14ac:dyDescent="0.3">
      <c r="A644" s="80">
        <v>637</v>
      </c>
      <c r="B644" s="84" t="s">
        <v>196</v>
      </c>
      <c r="D644" s="276" t="s">
        <v>1401</v>
      </c>
      <c r="E644" s="277">
        <v>24</v>
      </c>
      <c r="F644" s="277"/>
      <c r="G644" s="239" t="s">
        <v>245</v>
      </c>
      <c r="H644" s="84" t="s">
        <v>1329</v>
      </c>
      <c r="I644" s="239" t="s">
        <v>886</v>
      </c>
      <c r="J644" s="277" t="s">
        <v>887</v>
      </c>
      <c r="K644" s="279"/>
      <c r="L644" s="277"/>
      <c r="M644" s="282">
        <v>1953</v>
      </c>
      <c r="N644" s="239" t="s">
        <v>318</v>
      </c>
      <c r="O644" s="282">
        <v>4</v>
      </c>
      <c r="P644" s="239">
        <v>0</v>
      </c>
      <c r="Q644" s="282">
        <v>4</v>
      </c>
      <c r="R644" s="277">
        <v>42</v>
      </c>
      <c r="S644" s="266">
        <f t="shared" si="14"/>
        <v>2856.81</v>
      </c>
      <c r="T644" s="267">
        <v>2856.81</v>
      </c>
      <c r="U644" s="267">
        <v>2379.9</v>
      </c>
      <c r="V644" s="267">
        <v>188.10000000000002</v>
      </c>
      <c r="W644" s="269" t="s">
        <v>218</v>
      </c>
      <c r="X644" s="269" t="s">
        <v>218</v>
      </c>
      <c r="Y644" s="269" t="s">
        <v>219</v>
      </c>
      <c r="Z644" s="270" t="s">
        <v>218</v>
      </c>
      <c r="AA644" s="269" t="s">
        <v>218</v>
      </c>
      <c r="AB644" s="269" t="s">
        <v>218</v>
      </c>
      <c r="AC644" s="269" t="s">
        <v>218</v>
      </c>
      <c r="AD644" s="269" t="s">
        <v>218</v>
      </c>
      <c r="AE644" s="269" t="s">
        <v>219</v>
      </c>
      <c r="AF644" s="269">
        <v>0</v>
      </c>
      <c r="AG644" s="277">
        <v>1</v>
      </c>
      <c r="AH644" s="277"/>
      <c r="AI644" s="277">
        <v>0</v>
      </c>
      <c r="AJ644" s="277">
        <v>1</v>
      </c>
    </row>
    <row r="645" spans="1:38" s="275" customFormat="1" ht="32.25" customHeight="1" x14ac:dyDescent="0.3">
      <c r="A645" s="5">
        <v>638</v>
      </c>
      <c r="B645" s="84" t="s">
        <v>196</v>
      </c>
      <c r="D645" s="276" t="s">
        <v>1401</v>
      </c>
      <c r="E645" s="277">
        <v>3</v>
      </c>
      <c r="F645" s="277"/>
      <c r="G645" s="239" t="s">
        <v>245</v>
      </c>
      <c r="H645" s="84" t="s">
        <v>1330</v>
      </c>
      <c r="I645" s="239" t="s">
        <v>886</v>
      </c>
      <c r="J645" s="277" t="s">
        <v>887</v>
      </c>
      <c r="K645" s="279"/>
      <c r="L645" s="277"/>
      <c r="M645" s="277">
        <v>1910</v>
      </c>
      <c r="N645" s="239" t="s">
        <v>318</v>
      </c>
      <c r="O645" s="277">
        <v>3</v>
      </c>
      <c r="P645" s="239">
        <v>0</v>
      </c>
      <c r="Q645" s="277">
        <v>1</v>
      </c>
      <c r="R645" s="277">
        <v>7</v>
      </c>
      <c r="S645" s="266">
        <f t="shared" si="14"/>
        <v>561.39</v>
      </c>
      <c r="T645" s="267">
        <v>561.39</v>
      </c>
      <c r="U645" s="267">
        <v>447.09</v>
      </c>
      <c r="V645" s="267">
        <v>114.3</v>
      </c>
      <c r="W645" s="269" t="s">
        <v>218</v>
      </c>
      <c r="X645" s="269" t="s">
        <v>218</v>
      </c>
      <c r="Y645" s="269" t="s">
        <v>219</v>
      </c>
      <c r="Z645" s="270" t="s">
        <v>218</v>
      </c>
      <c r="AA645" s="269" t="s">
        <v>218</v>
      </c>
      <c r="AB645" s="269" t="s">
        <v>218</v>
      </c>
      <c r="AC645" s="269" t="s">
        <v>218</v>
      </c>
      <c r="AD645" s="269" t="s">
        <v>218</v>
      </c>
      <c r="AE645" s="269" t="s">
        <v>219</v>
      </c>
      <c r="AF645" s="269">
        <v>0</v>
      </c>
      <c r="AG645" s="277">
        <v>1</v>
      </c>
      <c r="AH645" s="277"/>
      <c r="AI645" s="277">
        <v>0</v>
      </c>
      <c r="AJ645" s="277">
        <v>0</v>
      </c>
    </row>
    <row r="646" spans="1:38" s="275" customFormat="1" ht="32.25" customHeight="1" x14ac:dyDescent="0.3">
      <c r="A646" s="80">
        <v>639</v>
      </c>
      <c r="B646" s="84" t="s">
        <v>196</v>
      </c>
      <c r="D646" s="276" t="s">
        <v>1401</v>
      </c>
      <c r="E646" s="277">
        <v>30</v>
      </c>
      <c r="F646" s="277"/>
      <c r="G646" s="239" t="s">
        <v>245</v>
      </c>
      <c r="H646" s="84" t="s">
        <v>1331</v>
      </c>
      <c r="I646" s="239" t="s">
        <v>886</v>
      </c>
      <c r="J646" s="277" t="s">
        <v>924</v>
      </c>
      <c r="K646" s="279" t="s">
        <v>922</v>
      </c>
      <c r="L646" s="277"/>
      <c r="M646" s="277">
        <v>1950</v>
      </c>
      <c r="N646" s="239" t="s">
        <v>318</v>
      </c>
      <c r="O646" s="277">
        <v>4</v>
      </c>
      <c r="P646" s="239">
        <v>0</v>
      </c>
      <c r="Q646" s="277">
        <v>2</v>
      </c>
      <c r="R646" s="277">
        <v>19</v>
      </c>
      <c r="S646" s="266">
        <f t="shared" si="14"/>
        <v>2501</v>
      </c>
      <c r="T646" s="267">
        <v>2501</v>
      </c>
      <c r="U646" s="267">
        <v>1914.3</v>
      </c>
      <c r="V646" s="267">
        <v>360.61</v>
      </c>
      <c r="W646" s="269" t="s">
        <v>218</v>
      </c>
      <c r="X646" s="269" t="s">
        <v>218</v>
      </c>
      <c r="Y646" s="269" t="s">
        <v>219</v>
      </c>
      <c r="Z646" s="270" t="s">
        <v>218</v>
      </c>
      <c r="AA646" s="269" t="s">
        <v>218</v>
      </c>
      <c r="AB646" s="269" t="s">
        <v>219</v>
      </c>
      <c r="AC646" s="269" t="s">
        <v>218</v>
      </c>
      <c r="AD646" s="269" t="s">
        <v>219</v>
      </c>
      <c r="AE646" s="269" t="s">
        <v>218</v>
      </c>
      <c r="AF646" s="269">
        <v>0</v>
      </c>
      <c r="AG646" s="277">
        <v>1</v>
      </c>
      <c r="AH646" s="277"/>
      <c r="AI646" s="277">
        <v>0</v>
      </c>
      <c r="AJ646" s="277">
        <v>0</v>
      </c>
    </row>
    <row r="647" spans="1:38" s="81" customFormat="1" ht="32.25" customHeight="1" x14ac:dyDescent="0.3">
      <c r="A647" s="5">
        <v>640</v>
      </c>
      <c r="B647" s="84" t="s">
        <v>196</v>
      </c>
      <c r="D647" s="240" t="s">
        <v>1402</v>
      </c>
      <c r="E647" s="385" t="s">
        <v>1403</v>
      </c>
      <c r="F647" s="239"/>
      <c r="G647" s="239" t="s">
        <v>245</v>
      </c>
      <c r="H647" s="84" t="s">
        <v>1332</v>
      </c>
      <c r="I647" s="239" t="s">
        <v>886</v>
      </c>
      <c r="J647" s="239" t="s">
        <v>887</v>
      </c>
      <c r="K647" s="118"/>
      <c r="L647" s="239"/>
      <c r="M647" s="239">
        <v>1940</v>
      </c>
      <c r="N647" s="239" t="s">
        <v>318</v>
      </c>
      <c r="O647" s="239">
        <v>4</v>
      </c>
      <c r="P647" s="239">
        <v>0</v>
      </c>
      <c r="Q647" s="239">
        <v>2</v>
      </c>
      <c r="R647" s="239">
        <v>37</v>
      </c>
      <c r="S647" s="266">
        <f t="shared" si="14"/>
        <v>3120.6</v>
      </c>
      <c r="T647" s="267">
        <v>3120.6</v>
      </c>
      <c r="U647" s="267">
        <v>2100.6</v>
      </c>
      <c r="V647" s="267">
        <v>802.4</v>
      </c>
      <c r="W647" s="268" t="s">
        <v>218</v>
      </c>
      <c r="X647" s="268" t="s">
        <v>218</v>
      </c>
      <c r="Y647" s="269" t="s">
        <v>219</v>
      </c>
      <c r="Z647" s="270" t="s">
        <v>218</v>
      </c>
      <c r="AA647" s="268" t="s">
        <v>218</v>
      </c>
      <c r="AB647" s="268" t="s">
        <v>218</v>
      </c>
      <c r="AC647" s="269" t="s">
        <v>218</v>
      </c>
      <c r="AD647" s="268" t="s">
        <v>218</v>
      </c>
      <c r="AE647" s="269" t="s">
        <v>219</v>
      </c>
      <c r="AF647" s="269">
        <v>0</v>
      </c>
      <c r="AG647" s="239" t="s">
        <v>444</v>
      </c>
      <c r="AH647" s="239"/>
      <c r="AI647" s="239">
        <v>0</v>
      </c>
      <c r="AJ647" s="239">
        <v>0</v>
      </c>
    </row>
    <row r="648" spans="1:38" s="81" customFormat="1" ht="32.25" customHeight="1" x14ac:dyDescent="0.3">
      <c r="A648" s="80">
        <v>641</v>
      </c>
      <c r="B648" s="84" t="s">
        <v>196</v>
      </c>
      <c r="D648" s="240" t="s">
        <v>833</v>
      </c>
      <c r="E648" s="239">
        <v>2</v>
      </c>
      <c r="F648" s="239">
        <v>1</v>
      </c>
      <c r="G648" s="239" t="s">
        <v>245</v>
      </c>
      <c r="H648" s="84" t="s">
        <v>1333</v>
      </c>
      <c r="I648" s="239" t="s">
        <v>886</v>
      </c>
      <c r="J648" s="239" t="s">
        <v>887</v>
      </c>
      <c r="K648" s="118" t="s">
        <v>956</v>
      </c>
      <c r="L648" s="239"/>
      <c r="M648" s="282">
        <v>1970</v>
      </c>
      <c r="N648" s="239" t="s">
        <v>889</v>
      </c>
      <c r="O648" s="282">
        <v>9</v>
      </c>
      <c r="P648" s="239">
        <v>0</v>
      </c>
      <c r="Q648" s="282">
        <v>9</v>
      </c>
      <c r="R648" s="239">
        <v>324</v>
      </c>
      <c r="S648" s="266">
        <f t="shared" si="14"/>
        <v>18169.150000000001</v>
      </c>
      <c r="T648" s="267">
        <v>18169.150000000001</v>
      </c>
      <c r="U648" s="267">
        <v>17639.23</v>
      </c>
      <c r="V648" s="267">
        <v>0</v>
      </c>
      <c r="W648" s="268" t="s">
        <v>218</v>
      </c>
      <c r="X648" s="268" t="s">
        <v>218</v>
      </c>
      <c r="Y648" s="269" t="s">
        <v>218</v>
      </c>
      <c r="Z648" s="270" t="s">
        <v>218</v>
      </c>
      <c r="AA648" s="268" t="s">
        <v>218</v>
      </c>
      <c r="AB648" s="268" t="s">
        <v>218</v>
      </c>
      <c r="AC648" s="269" t="s">
        <v>219</v>
      </c>
      <c r="AD648" s="268" t="s">
        <v>218</v>
      </c>
      <c r="AE648" s="269" t="s">
        <v>219</v>
      </c>
      <c r="AF648" s="268">
        <v>9</v>
      </c>
      <c r="AG648" s="239">
        <v>2</v>
      </c>
      <c r="AH648" s="239"/>
      <c r="AI648" s="239">
        <v>1</v>
      </c>
      <c r="AJ648" s="239">
        <v>1</v>
      </c>
    </row>
    <row r="649" spans="1:38" s="81" customFormat="1" ht="32.25" customHeight="1" x14ac:dyDescent="0.3">
      <c r="A649" s="5">
        <v>642</v>
      </c>
      <c r="B649" s="84" t="s">
        <v>196</v>
      </c>
      <c r="D649" s="240" t="s">
        <v>833</v>
      </c>
      <c r="E649" s="239">
        <v>2</v>
      </c>
      <c r="F649" s="239">
        <v>3</v>
      </c>
      <c r="G649" s="239" t="s">
        <v>245</v>
      </c>
      <c r="H649" s="84" t="s">
        <v>1334</v>
      </c>
      <c r="I649" s="239" t="s">
        <v>886</v>
      </c>
      <c r="J649" s="239" t="s">
        <v>887</v>
      </c>
      <c r="K649" s="118" t="s">
        <v>922</v>
      </c>
      <c r="L649" s="239"/>
      <c r="M649" s="282">
        <v>1960</v>
      </c>
      <c r="N649" s="239" t="s">
        <v>318</v>
      </c>
      <c r="O649" s="282">
        <v>3</v>
      </c>
      <c r="P649" s="239">
        <v>0</v>
      </c>
      <c r="Q649" s="282">
        <v>3</v>
      </c>
      <c r="R649" s="239">
        <v>28</v>
      </c>
      <c r="S649" s="266">
        <f t="shared" si="14"/>
        <v>1533.97</v>
      </c>
      <c r="T649" s="267">
        <v>1533.97</v>
      </c>
      <c r="U649" s="267">
        <v>1141.02</v>
      </c>
      <c r="V649" s="267">
        <v>361.6</v>
      </c>
      <c r="W649" s="268" t="s">
        <v>218</v>
      </c>
      <c r="X649" s="268" t="s">
        <v>218</v>
      </c>
      <c r="Y649" s="269" t="s">
        <v>218</v>
      </c>
      <c r="Z649" s="270" t="s">
        <v>218</v>
      </c>
      <c r="AA649" s="268" t="s">
        <v>218</v>
      </c>
      <c r="AB649" s="268" t="s">
        <v>218</v>
      </c>
      <c r="AC649" s="269" t="s">
        <v>219</v>
      </c>
      <c r="AD649" s="268" t="s">
        <v>218</v>
      </c>
      <c r="AE649" s="269" t="s">
        <v>219</v>
      </c>
      <c r="AF649" s="268">
        <v>0</v>
      </c>
      <c r="AG649" s="239">
        <v>1</v>
      </c>
      <c r="AH649" s="239"/>
      <c r="AI649" s="239">
        <v>1</v>
      </c>
      <c r="AJ649" s="239">
        <v>1</v>
      </c>
    </row>
    <row r="650" spans="1:38" s="81" customFormat="1" ht="32.25" customHeight="1" x14ac:dyDescent="0.3">
      <c r="A650" s="80">
        <v>643</v>
      </c>
      <c r="B650" s="84" t="s">
        <v>196</v>
      </c>
      <c r="D650" s="240" t="s">
        <v>833</v>
      </c>
      <c r="E650" s="239">
        <v>2</v>
      </c>
      <c r="F650" s="239">
        <v>4</v>
      </c>
      <c r="G650" s="239" t="s">
        <v>245</v>
      </c>
      <c r="H650" s="84" t="s">
        <v>1335</v>
      </c>
      <c r="I650" s="239" t="s">
        <v>886</v>
      </c>
      <c r="J650" s="239"/>
      <c r="K650" s="118" t="s">
        <v>922</v>
      </c>
      <c r="L650" s="239"/>
      <c r="M650" s="282">
        <v>1960</v>
      </c>
      <c r="N650" s="239" t="s">
        <v>318</v>
      </c>
      <c r="O650" s="282">
        <v>3</v>
      </c>
      <c r="P650" s="239">
        <v>0</v>
      </c>
      <c r="Q650" s="282">
        <v>3</v>
      </c>
      <c r="R650" s="239">
        <v>36</v>
      </c>
      <c r="S650" s="266">
        <f t="shared" si="14"/>
        <v>1492.7</v>
      </c>
      <c r="T650" s="267">
        <v>1492.7</v>
      </c>
      <c r="U650" s="267">
        <v>1473.3</v>
      </c>
      <c r="V650" s="267">
        <v>0</v>
      </c>
      <c r="W650" s="268" t="s">
        <v>218</v>
      </c>
      <c r="X650" s="268" t="s">
        <v>218</v>
      </c>
      <c r="Y650" s="269" t="s">
        <v>218</v>
      </c>
      <c r="Z650" s="270" t="s">
        <v>218</v>
      </c>
      <c r="AA650" s="268" t="s">
        <v>218</v>
      </c>
      <c r="AB650" s="268" t="s">
        <v>218</v>
      </c>
      <c r="AC650" s="269" t="s">
        <v>219</v>
      </c>
      <c r="AD650" s="268" t="s">
        <v>218</v>
      </c>
      <c r="AE650" s="269" t="s">
        <v>219</v>
      </c>
      <c r="AF650" s="268">
        <v>0</v>
      </c>
      <c r="AG650" s="239">
        <v>0</v>
      </c>
      <c r="AH650" s="239"/>
      <c r="AI650" s="239">
        <v>0</v>
      </c>
      <c r="AJ650" s="239">
        <v>0</v>
      </c>
    </row>
    <row r="651" spans="1:38" s="81" customFormat="1" ht="32.25" customHeight="1" x14ac:dyDescent="0.3">
      <c r="A651" s="5">
        <v>644</v>
      </c>
      <c r="B651" s="84" t="s">
        <v>196</v>
      </c>
      <c r="D651" s="240" t="s">
        <v>833</v>
      </c>
      <c r="E651" s="239">
        <v>2</v>
      </c>
      <c r="F651" s="239">
        <v>5</v>
      </c>
      <c r="G651" s="239" t="s">
        <v>245</v>
      </c>
      <c r="H651" s="84" t="s">
        <v>1336</v>
      </c>
      <c r="I651" s="239" t="s">
        <v>886</v>
      </c>
      <c r="J651" s="239"/>
      <c r="K651" s="118" t="s">
        <v>922</v>
      </c>
      <c r="L651" s="239"/>
      <c r="M651" s="282">
        <v>1959</v>
      </c>
      <c r="N651" s="239" t="s">
        <v>318</v>
      </c>
      <c r="O651" s="282">
        <v>3</v>
      </c>
      <c r="P651" s="239">
        <v>0</v>
      </c>
      <c r="Q651" s="282">
        <v>3</v>
      </c>
      <c r="R651" s="239">
        <v>36</v>
      </c>
      <c r="S651" s="266">
        <f t="shared" si="14"/>
        <v>1507.2</v>
      </c>
      <c r="T651" s="267">
        <v>1507.2</v>
      </c>
      <c r="U651" s="267">
        <v>1475.13</v>
      </c>
      <c r="V651" s="267">
        <v>0</v>
      </c>
      <c r="W651" s="268" t="s">
        <v>218</v>
      </c>
      <c r="X651" s="268" t="s">
        <v>218</v>
      </c>
      <c r="Y651" s="269" t="s">
        <v>218</v>
      </c>
      <c r="Z651" s="270" t="s">
        <v>218</v>
      </c>
      <c r="AA651" s="268" t="s">
        <v>218</v>
      </c>
      <c r="AB651" s="268" t="s">
        <v>218</v>
      </c>
      <c r="AC651" s="269" t="s">
        <v>219</v>
      </c>
      <c r="AD651" s="268" t="s">
        <v>218</v>
      </c>
      <c r="AE651" s="269" t="s">
        <v>219</v>
      </c>
      <c r="AF651" s="268">
        <v>0</v>
      </c>
      <c r="AG651" s="239">
        <v>0</v>
      </c>
      <c r="AH651" s="239"/>
      <c r="AI651" s="239">
        <v>1</v>
      </c>
      <c r="AJ651" s="239">
        <v>1</v>
      </c>
    </row>
    <row r="652" spans="1:38" s="81" customFormat="1" ht="32.25" customHeight="1" x14ac:dyDescent="0.3">
      <c r="A652" s="80">
        <v>645</v>
      </c>
      <c r="B652" s="84" t="s">
        <v>196</v>
      </c>
      <c r="D652" s="240" t="s">
        <v>833</v>
      </c>
      <c r="E652" s="239">
        <v>2</v>
      </c>
      <c r="F652" s="239">
        <v>6</v>
      </c>
      <c r="G652" s="239" t="s">
        <v>245</v>
      </c>
      <c r="H652" s="84" t="s">
        <v>1337</v>
      </c>
      <c r="I652" s="239" t="s">
        <v>886</v>
      </c>
      <c r="J652" s="239" t="s">
        <v>216</v>
      </c>
      <c r="K652" s="118" t="s">
        <v>922</v>
      </c>
      <c r="L652" s="239"/>
      <c r="M652" s="282">
        <v>1960</v>
      </c>
      <c r="N652" s="239" t="s">
        <v>318</v>
      </c>
      <c r="O652" s="282">
        <v>3</v>
      </c>
      <c r="P652" s="239">
        <v>0</v>
      </c>
      <c r="Q652" s="282">
        <v>2</v>
      </c>
      <c r="R652" s="239">
        <v>24</v>
      </c>
      <c r="S652" s="266">
        <f t="shared" si="14"/>
        <v>1018.99</v>
      </c>
      <c r="T652" s="267">
        <v>1018.99</v>
      </c>
      <c r="U652" s="267">
        <v>928.92</v>
      </c>
      <c r="V652" s="267">
        <v>0</v>
      </c>
      <c r="W652" s="268" t="s">
        <v>218</v>
      </c>
      <c r="X652" s="268" t="s">
        <v>218</v>
      </c>
      <c r="Y652" s="269" t="s">
        <v>218</v>
      </c>
      <c r="Z652" s="270" t="s">
        <v>218</v>
      </c>
      <c r="AA652" s="268" t="s">
        <v>218</v>
      </c>
      <c r="AB652" s="268" t="s">
        <v>218</v>
      </c>
      <c r="AC652" s="269" t="s">
        <v>219</v>
      </c>
      <c r="AD652" s="268" t="s">
        <v>218</v>
      </c>
      <c r="AE652" s="269" t="s">
        <v>219</v>
      </c>
      <c r="AF652" s="268">
        <v>0</v>
      </c>
      <c r="AG652" s="239">
        <v>1</v>
      </c>
      <c r="AH652" s="239"/>
      <c r="AI652" s="239">
        <v>1</v>
      </c>
      <c r="AJ652" s="239">
        <v>1</v>
      </c>
    </row>
    <row r="653" spans="1:38" s="81" customFormat="1" ht="32.25" customHeight="1" x14ac:dyDescent="0.3">
      <c r="A653" s="5">
        <v>646</v>
      </c>
      <c r="B653" s="84" t="s">
        <v>196</v>
      </c>
      <c r="D653" s="240" t="s">
        <v>833</v>
      </c>
      <c r="E653" s="239">
        <v>4</v>
      </c>
      <c r="F653" s="239"/>
      <c r="G653" s="239" t="s">
        <v>245</v>
      </c>
      <c r="H653" s="84" t="s">
        <v>1338</v>
      </c>
      <c r="I653" s="239" t="s">
        <v>247</v>
      </c>
      <c r="J653" s="239"/>
      <c r="K653" s="118" t="s">
        <v>957</v>
      </c>
      <c r="L653" s="239"/>
      <c r="M653" s="282">
        <v>1970</v>
      </c>
      <c r="N653" s="239" t="s">
        <v>889</v>
      </c>
      <c r="O653" s="282">
        <v>9</v>
      </c>
      <c r="P653" s="239">
        <v>0</v>
      </c>
      <c r="Q653" s="282">
        <v>7</v>
      </c>
      <c r="R653" s="239">
        <v>234</v>
      </c>
      <c r="S653" s="266">
        <f t="shared" si="14"/>
        <v>13672.3</v>
      </c>
      <c r="T653" s="267">
        <v>13672.3</v>
      </c>
      <c r="U653" s="267">
        <v>13460.9</v>
      </c>
      <c r="V653" s="267">
        <v>0</v>
      </c>
      <c r="W653" s="268" t="s">
        <v>218</v>
      </c>
      <c r="X653" s="268" t="s">
        <v>218</v>
      </c>
      <c r="Y653" s="269" t="s">
        <v>218</v>
      </c>
      <c r="Z653" s="270" t="s">
        <v>218</v>
      </c>
      <c r="AA653" s="268" t="s">
        <v>218</v>
      </c>
      <c r="AB653" s="268" t="s">
        <v>218</v>
      </c>
      <c r="AC653" s="269" t="s">
        <v>219</v>
      </c>
      <c r="AD653" s="268" t="s">
        <v>218</v>
      </c>
      <c r="AE653" s="269" t="s">
        <v>219</v>
      </c>
      <c r="AF653" s="268">
        <v>7</v>
      </c>
      <c r="AG653" s="239">
        <v>2</v>
      </c>
      <c r="AH653" s="239"/>
      <c r="AI653" s="239">
        <v>1</v>
      </c>
      <c r="AJ653" s="239">
        <v>1</v>
      </c>
    </row>
    <row r="654" spans="1:38" s="81" customFormat="1" ht="32.25" customHeight="1" x14ac:dyDescent="0.3">
      <c r="A654" s="80">
        <v>647</v>
      </c>
      <c r="B654" s="84" t="s">
        <v>196</v>
      </c>
      <c r="D654" s="240" t="s">
        <v>833</v>
      </c>
      <c r="E654" s="385" t="s">
        <v>1404</v>
      </c>
      <c r="F654" s="239"/>
      <c r="G654" s="239" t="s">
        <v>245</v>
      </c>
      <c r="H654" s="84" t="s">
        <v>1339</v>
      </c>
      <c r="I654" s="239" t="s">
        <v>886</v>
      </c>
      <c r="J654" s="239" t="s">
        <v>318</v>
      </c>
      <c r="K654" s="118" t="s">
        <v>922</v>
      </c>
      <c r="L654" s="239"/>
      <c r="M654" s="282">
        <v>1980</v>
      </c>
      <c r="N654" s="239" t="s">
        <v>318</v>
      </c>
      <c r="O654" s="282">
        <v>9</v>
      </c>
      <c r="P654" s="239">
        <v>0</v>
      </c>
      <c r="Q654" s="282">
        <v>11</v>
      </c>
      <c r="R654" s="239">
        <v>338</v>
      </c>
      <c r="S654" s="266">
        <f t="shared" si="14"/>
        <v>21240.7</v>
      </c>
      <c r="T654" s="267">
        <v>21240.7</v>
      </c>
      <c r="U654" s="267">
        <v>18560.8</v>
      </c>
      <c r="V654" s="267">
        <v>2209.8000000000002</v>
      </c>
      <c r="W654" s="268" t="s">
        <v>218</v>
      </c>
      <c r="X654" s="268" t="s">
        <v>218</v>
      </c>
      <c r="Y654" s="269" t="s">
        <v>218</v>
      </c>
      <c r="Z654" s="270" t="s">
        <v>218</v>
      </c>
      <c r="AA654" s="268" t="s">
        <v>218</v>
      </c>
      <c r="AB654" s="268" t="s">
        <v>218</v>
      </c>
      <c r="AC654" s="269" t="s">
        <v>219</v>
      </c>
      <c r="AD654" s="268" t="s">
        <v>218</v>
      </c>
      <c r="AE654" s="269" t="s">
        <v>219</v>
      </c>
      <c r="AF654" s="268">
        <v>11</v>
      </c>
      <c r="AG654" s="239">
        <v>1</v>
      </c>
      <c r="AH654" s="239"/>
      <c r="AI654" s="239">
        <v>1</v>
      </c>
      <c r="AJ654" s="239">
        <v>1</v>
      </c>
    </row>
    <row r="655" spans="1:38" ht="32.25" customHeight="1" x14ac:dyDescent="0.3">
      <c r="A655" s="5">
        <v>648</v>
      </c>
      <c r="B655" s="4" t="s">
        <v>196</v>
      </c>
      <c r="C655" s="4" t="s">
        <v>1407</v>
      </c>
      <c r="D655" s="309" t="s">
        <v>1408</v>
      </c>
      <c r="E655" s="122">
        <v>2</v>
      </c>
      <c r="F655" s="122"/>
      <c r="G655" s="122"/>
      <c r="H655" s="84" t="s">
        <v>1340</v>
      </c>
      <c r="I655" s="4" t="s">
        <v>341</v>
      </c>
      <c r="J655" s="4"/>
      <c r="K655" s="4" t="s">
        <v>801</v>
      </c>
      <c r="L655" s="310" t="s">
        <v>890</v>
      </c>
      <c r="M655" s="132">
        <v>1969</v>
      </c>
      <c r="N655" s="132" t="s">
        <v>318</v>
      </c>
      <c r="O655" s="4">
        <v>9</v>
      </c>
      <c r="P655" s="4"/>
      <c r="Q655" s="23">
        <v>1</v>
      </c>
      <c r="R655" s="23">
        <v>45</v>
      </c>
      <c r="S655" s="23">
        <v>2379.5</v>
      </c>
      <c r="T655" s="25">
        <v>1995</v>
      </c>
      <c r="U655" s="23">
        <v>1995.4</v>
      </c>
      <c r="V655" s="72"/>
      <c r="W655" s="311" t="s">
        <v>218</v>
      </c>
      <c r="X655" s="312" t="s">
        <v>218</v>
      </c>
      <c r="Y655" s="122" t="s">
        <v>218</v>
      </c>
      <c r="Z655" s="312" t="s">
        <v>218</v>
      </c>
      <c r="AA655" s="122" t="s">
        <v>218</v>
      </c>
      <c r="AB655" s="313" t="str">
        <f>AD655</f>
        <v>да</v>
      </c>
      <c r="AC655" s="4" t="s">
        <v>219</v>
      </c>
      <c r="AD655" s="53" t="s">
        <v>218</v>
      </c>
      <c r="AE655" s="53" t="s">
        <v>219</v>
      </c>
      <c r="AF655" s="314">
        <v>1</v>
      </c>
      <c r="AG655" s="23">
        <v>2</v>
      </c>
      <c r="AH655" s="23">
        <v>1</v>
      </c>
      <c r="AI655" s="23">
        <v>1</v>
      </c>
      <c r="AJ655" s="23">
        <v>1</v>
      </c>
      <c r="AK655" s="23">
        <v>0</v>
      </c>
      <c r="AL655" s="4"/>
    </row>
    <row r="656" spans="1:38" ht="32.25" customHeight="1" x14ac:dyDescent="0.3">
      <c r="A656" s="80">
        <v>649</v>
      </c>
      <c r="B656" s="4" t="s">
        <v>196</v>
      </c>
      <c r="C656" s="4" t="s">
        <v>1407</v>
      </c>
      <c r="D656" s="315" t="s">
        <v>1408</v>
      </c>
      <c r="E656" s="122">
        <v>12</v>
      </c>
      <c r="F656" s="122"/>
      <c r="G656" s="122"/>
      <c r="H656" s="84" t="s">
        <v>1341</v>
      </c>
      <c r="I656" s="4" t="s">
        <v>341</v>
      </c>
      <c r="J656" s="4"/>
      <c r="K656" s="4" t="s">
        <v>801</v>
      </c>
      <c r="L656" s="310" t="s">
        <v>890</v>
      </c>
      <c r="M656" s="132">
        <v>1965</v>
      </c>
      <c r="N656" s="132" t="s">
        <v>216</v>
      </c>
      <c r="O656" s="4">
        <v>5</v>
      </c>
      <c r="P656" s="4"/>
      <c r="Q656" s="23">
        <v>6</v>
      </c>
      <c r="R656" s="23">
        <v>90</v>
      </c>
      <c r="S656" s="23">
        <v>4507</v>
      </c>
      <c r="T656" s="23">
        <v>4000.8</v>
      </c>
      <c r="U656" s="23">
        <v>4000.8</v>
      </c>
      <c r="V656" s="4"/>
      <c r="W656" s="311" t="s">
        <v>218</v>
      </c>
      <c r="X656" s="312" t="s">
        <v>218</v>
      </c>
      <c r="Y656" s="122" t="s">
        <v>218</v>
      </c>
      <c r="Z656" s="312" t="s">
        <v>218</v>
      </c>
      <c r="AA656" s="122" t="s">
        <v>218</v>
      </c>
      <c r="AB656" s="313" t="str">
        <f t="shared" ref="AB656:AB719" si="15">AD656</f>
        <v>да</v>
      </c>
      <c r="AC656" s="4" t="s">
        <v>219</v>
      </c>
      <c r="AD656" s="53" t="s">
        <v>218</v>
      </c>
      <c r="AE656" s="53" t="s">
        <v>219</v>
      </c>
      <c r="AF656" s="23"/>
      <c r="AG656" s="23">
        <v>1</v>
      </c>
      <c r="AH656" s="23">
        <v>1</v>
      </c>
      <c r="AI656" s="23">
        <v>1</v>
      </c>
      <c r="AJ656" s="23">
        <v>1</v>
      </c>
      <c r="AK656" s="23">
        <v>0</v>
      </c>
      <c r="AL656" s="4"/>
    </row>
    <row r="657" spans="1:38" ht="32.25" customHeight="1" x14ac:dyDescent="0.3">
      <c r="A657" s="5">
        <v>650</v>
      </c>
      <c r="B657" s="4" t="s">
        <v>196</v>
      </c>
      <c r="C657" s="4" t="s">
        <v>1407</v>
      </c>
      <c r="D657" s="316" t="s">
        <v>1408</v>
      </c>
      <c r="E657" s="122">
        <v>14</v>
      </c>
      <c r="F657" s="122"/>
      <c r="G657" s="122"/>
      <c r="H657" s="84" t="s">
        <v>1342</v>
      </c>
      <c r="I657" s="4" t="s">
        <v>341</v>
      </c>
      <c r="J657" s="4"/>
      <c r="K657" s="4" t="s">
        <v>801</v>
      </c>
      <c r="L657" s="310" t="s">
        <v>1409</v>
      </c>
      <c r="M657" s="132">
        <v>1969</v>
      </c>
      <c r="N657" s="132" t="s">
        <v>1410</v>
      </c>
      <c r="O657" s="4">
        <v>9</v>
      </c>
      <c r="P657" s="4"/>
      <c r="Q657" s="23">
        <v>1</v>
      </c>
      <c r="R657" s="23">
        <v>45</v>
      </c>
      <c r="S657" s="23">
        <v>2362.9</v>
      </c>
      <c r="T657" s="23">
        <v>2005</v>
      </c>
      <c r="U657" s="23">
        <v>2005</v>
      </c>
      <c r="V657" s="4"/>
      <c r="W657" s="311" t="s">
        <v>218</v>
      </c>
      <c r="X657" s="312" t="s">
        <v>218</v>
      </c>
      <c r="Y657" s="122" t="s">
        <v>218</v>
      </c>
      <c r="Z657" s="312" t="s">
        <v>218</v>
      </c>
      <c r="AA657" s="122" t="s">
        <v>218</v>
      </c>
      <c r="AB657" s="313" t="str">
        <f t="shared" si="15"/>
        <v>да</v>
      </c>
      <c r="AC657" s="4" t="s">
        <v>219</v>
      </c>
      <c r="AD657" s="53" t="s">
        <v>218</v>
      </c>
      <c r="AE657" s="53" t="s">
        <v>219</v>
      </c>
      <c r="AF657" s="23">
        <v>1</v>
      </c>
      <c r="AG657" s="23">
        <v>2</v>
      </c>
      <c r="AH657" s="23">
        <v>1</v>
      </c>
      <c r="AI657" s="23">
        <v>1</v>
      </c>
      <c r="AJ657" s="23">
        <v>1</v>
      </c>
      <c r="AK657" s="23">
        <v>0</v>
      </c>
      <c r="AL657" s="4"/>
    </row>
    <row r="658" spans="1:38" ht="32.25" customHeight="1" x14ac:dyDescent="0.3">
      <c r="A658" s="80">
        <v>651</v>
      </c>
      <c r="B658" s="4" t="s">
        <v>196</v>
      </c>
      <c r="C658" s="4" t="s">
        <v>1407</v>
      </c>
      <c r="D658" s="316" t="s">
        <v>1408</v>
      </c>
      <c r="E658" s="122">
        <v>20</v>
      </c>
      <c r="F658" s="122"/>
      <c r="G658" s="122"/>
      <c r="H658" s="84" t="s">
        <v>1343</v>
      </c>
      <c r="I658" s="4" t="s">
        <v>341</v>
      </c>
      <c r="J658" s="4"/>
      <c r="K658" s="4" t="s">
        <v>801</v>
      </c>
      <c r="L658" s="310" t="s">
        <v>888</v>
      </c>
      <c r="M658" s="132">
        <v>1965</v>
      </c>
      <c r="N658" s="132" t="s">
        <v>216</v>
      </c>
      <c r="O658" s="4">
        <v>9</v>
      </c>
      <c r="P658" s="4"/>
      <c r="Q658" s="23">
        <v>9</v>
      </c>
      <c r="R658" s="23">
        <v>134</v>
      </c>
      <c r="S658" s="23">
        <v>6742</v>
      </c>
      <c r="T658" s="23">
        <v>5991.4</v>
      </c>
      <c r="U658" s="23">
        <v>5991.4</v>
      </c>
      <c r="V658" s="4"/>
      <c r="W658" s="311" t="s">
        <v>218</v>
      </c>
      <c r="X658" s="312" t="s">
        <v>218</v>
      </c>
      <c r="Y658" s="122" t="s">
        <v>218</v>
      </c>
      <c r="Z658" s="312" t="s">
        <v>218</v>
      </c>
      <c r="AA658" s="122" t="s">
        <v>218</v>
      </c>
      <c r="AB658" s="313" t="str">
        <f t="shared" si="15"/>
        <v>да</v>
      </c>
      <c r="AC658" s="4" t="s">
        <v>219</v>
      </c>
      <c r="AD658" s="53" t="s">
        <v>218</v>
      </c>
      <c r="AE658" s="53" t="s">
        <v>219</v>
      </c>
      <c r="AF658" s="23"/>
      <c r="AG658" s="23">
        <v>1</v>
      </c>
      <c r="AH658" s="23">
        <v>1</v>
      </c>
      <c r="AI658" s="23">
        <v>1</v>
      </c>
      <c r="AJ658" s="23">
        <v>1</v>
      </c>
      <c r="AK658" s="23">
        <v>0</v>
      </c>
      <c r="AL658" s="4"/>
    </row>
    <row r="659" spans="1:38" ht="32.25" customHeight="1" x14ac:dyDescent="0.3">
      <c r="A659" s="5">
        <v>652</v>
      </c>
      <c r="B659" s="4" t="s">
        <v>196</v>
      </c>
      <c r="C659" s="4" t="s">
        <v>1407</v>
      </c>
      <c r="D659" s="316" t="s">
        <v>1408</v>
      </c>
      <c r="E659" s="122">
        <v>22</v>
      </c>
      <c r="F659" s="122"/>
      <c r="G659" s="122"/>
      <c r="H659" s="84" t="s">
        <v>1344</v>
      </c>
      <c r="I659" s="4" t="s">
        <v>341</v>
      </c>
      <c r="J659" s="4"/>
      <c r="K659" s="4" t="s">
        <v>801</v>
      </c>
      <c r="L659" s="310" t="s">
        <v>1411</v>
      </c>
      <c r="M659" s="132">
        <v>1965</v>
      </c>
      <c r="N659" s="132" t="s">
        <v>216</v>
      </c>
      <c r="O659" s="4">
        <v>5</v>
      </c>
      <c r="P659" s="4"/>
      <c r="Q659" s="23">
        <v>6</v>
      </c>
      <c r="R659" s="23">
        <v>90</v>
      </c>
      <c r="S659" s="23">
        <v>4503</v>
      </c>
      <c r="T659" s="23">
        <v>3997.8</v>
      </c>
      <c r="U659" s="23">
        <v>3997.8</v>
      </c>
      <c r="V659" s="4"/>
      <c r="W659" s="311" t="s">
        <v>218</v>
      </c>
      <c r="X659" s="312" t="s">
        <v>218</v>
      </c>
      <c r="Y659" s="122" t="s">
        <v>218</v>
      </c>
      <c r="Z659" s="312" t="s">
        <v>218</v>
      </c>
      <c r="AA659" s="122" t="s">
        <v>218</v>
      </c>
      <c r="AB659" s="313" t="str">
        <f t="shared" si="15"/>
        <v>да</v>
      </c>
      <c r="AC659" s="4" t="s">
        <v>219</v>
      </c>
      <c r="AD659" s="53" t="s">
        <v>218</v>
      </c>
      <c r="AE659" s="53" t="s">
        <v>219</v>
      </c>
      <c r="AF659" s="23"/>
      <c r="AG659" s="23">
        <v>1</v>
      </c>
      <c r="AH659" s="23">
        <v>1</v>
      </c>
      <c r="AI659" s="23">
        <v>1</v>
      </c>
      <c r="AJ659" s="23">
        <v>1</v>
      </c>
      <c r="AK659" s="23">
        <v>0</v>
      </c>
      <c r="AL659" s="4"/>
    </row>
    <row r="660" spans="1:38" ht="32.25" customHeight="1" x14ac:dyDescent="0.3">
      <c r="A660" s="80">
        <v>653</v>
      </c>
      <c r="B660" s="4" t="s">
        <v>196</v>
      </c>
      <c r="C660" s="4" t="s">
        <v>1407</v>
      </c>
      <c r="D660" s="316" t="s">
        <v>1408</v>
      </c>
      <c r="E660" s="122">
        <v>26</v>
      </c>
      <c r="F660" s="122"/>
      <c r="G660" s="122"/>
      <c r="H660" s="84" t="s">
        <v>1345</v>
      </c>
      <c r="I660" s="4" t="s">
        <v>341</v>
      </c>
      <c r="J660" s="4"/>
      <c r="K660" s="4" t="s">
        <v>801</v>
      </c>
      <c r="L660" s="310" t="s">
        <v>890</v>
      </c>
      <c r="M660" s="132">
        <v>1965</v>
      </c>
      <c r="N660" s="132" t="s">
        <v>216</v>
      </c>
      <c r="O660" s="4">
        <v>5</v>
      </c>
      <c r="P660" s="4"/>
      <c r="Q660" s="23">
        <v>9</v>
      </c>
      <c r="R660" s="23">
        <v>134</v>
      </c>
      <c r="S660" s="23">
        <v>6792.54</v>
      </c>
      <c r="T660" s="23">
        <v>6015.14</v>
      </c>
      <c r="U660" s="23">
        <v>6015.14</v>
      </c>
      <c r="V660" s="4"/>
      <c r="W660" s="311" t="s">
        <v>218</v>
      </c>
      <c r="X660" s="312" t="s">
        <v>218</v>
      </c>
      <c r="Y660" s="122" t="s">
        <v>218</v>
      </c>
      <c r="Z660" s="312" t="s">
        <v>218</v>
      </c>
      <c r="AA660" s="122" t="s">
        <v>218</v>
      </c>
      <c r="AB660" s="313" t="str">
        <f t="shared" si="15"/>
        <v>да</v>
      </c>
      <c r="AC660" s="4" t="s">
        <v>219</v>
      </c>
      <c r="AD660" s="53" t="s">
        <v>218</v>
      </c>
      <c r="AE660" s="53" t="s">
        <v>219</v>
      </c>
      <c r="AF660" s="23"/>
      <c r="AG660" s="23">
        <v>1</v>
      </c>
      <c r="AH660" s="23">
        <v>1</v>
      </c>
      <c r="AI660" s="23">
        <v>1</v>
      </c>
      <c r="AJ660" s="23">
        <v>1</v>
      </c>
      <c r="AK660" s="23">
        <v>0</v>
      </c>
      <c r="AL660" s="4"/>
    </row>
    <row r="661" spans="1:38" ht="32.25" customHeight="1" x14ac:dyDescent="0.3">
      <c r="A661" s="5">
        <v>654</v>
      </c>
      <c r="B661" s="4" t="s">
        <v>196</v>
      </c>
      <c r="C661" s="4" t="s">
        <v>1407</v>
      </c>
      <c r="D661" s="316" t="s">
        <v>1408</v>
      </c>
      <c r="E661" s="122">
        <v>28</v>
      </c>
      <c r="F661" s="122"/>
      <c r="G661" s="122"/>
      <c r="H661" s="84" t="s">
        <v>1346</v>
      </c>
      <c r="I661" s="4" t="s">
        <v>341</v>
      </c>
      <c r="J661" s="4"/>
      <c r="K661" s="4" t="s">
        <v>801</v>
      </c>
      <c r="L661" s="310" t="s">
        <v>1412</v>
      </c>
      <c r="M661" s="132">
        <v>1968</v>
      </c>
      <c r="N661" s="132" t="s">
        <v>1413</v>
      </c>
      <c r="O661" s="4">
        <v>9</v>
      </c>
      <c r="P661" s="4"/>
      <c r="Q661" s="23">
        <v>1</v>
      </c>
      <c r="R661" s="23">
        <v>45</v>
      </c>
      <c r="S661" s="23">
        <v>2399.81</v>
      </c>
      <c r="T661" s="23">
        <v>2015.01</v>
      </c>
      <c r="U661" s="23">
        <v>2015.01</v>
      </c>
      <c r="V661" s="4"/>
      <c r="W661" s="311" t="s">
        <v>218</v>
      </c>
      <c r="X661" s="312" t="s">
        <v>218</v>
      </c>
      <c r="Y661" s="122" t="s">
        <v>218</v>
      </c>
      <c r="Z661" s="312" t="s">
        <v>218</v>
      </c>
      <c r="AA661" s="122" t="s">
        <v>218</v>
      </c>
      <c r="AB661" s="313" t="str">
        <f t="shared" si="15"/>
        <v>да</v>
      </c>
      <c r="AC661" s="4" t="s">
        <v>219</v>
      </c>
      <c r="AD661" s="53" t="s">
        <v>218</v>
      </c>
      <c r="AE661" s="53" t="s">
        <v>219</v>
      </c>
      <c r="AF661" s="23">
        <v>1</v>
      </c>
      <c r="AG661" s="23">
        <v>2</v>
      </c>
      <c r="AH661" s="23">
        <v>1</v>
      </c>
      <c r="AI661" s="23">
        <v>1</v>
      </c>
      <c r="AJ661" s="23">
        <v>1</v>
      </c>
      <c r="AK661" s="23">
        <v>0</v>
      </c>
      <c r="AL661" s="4"/>
    </row>
    <row r="662" spans="1:38" ht="32.25" customHeight="1" x14ac:dyDescent="0.3">
      <c r="A662" s="80">
        <v>655</v>
      </c>
      <c r="B662" s="4" t="s">
        <v>196</v>
      </c>
      <c r="C662" s="4" t="s">
        <v>1407</v>
      </c>
      <c r="D662" s="316" t="s">
        <v>1408</v>
      </c>
      <c r="E662" s="122">
        <v>31</v>
      </c>
      <c r="F662" s="122"/>
      <c r="G662" s="122"/>
      <c r="H662" s="84" t="s">
        <v>1347</v>
      </c>
      <c r="I662" s="4" t="s">
        <v>341</v>
      </c>
      <c r="J662" s="4"/>
      <c r="K662" s="4" t="s">
        <v>801</v>
      </c>
      <c r="L662" s="310" t="s">
        <v>1414</v>
      </c>
      <c r="M662" s="132">
        <v>1965</v>
      </c>
      <c r="N662" s="132" t="s">
        <v>216</v>
      </c>
      <c r="O662" s="4">
        <v>5</v>
      </c>
      <c r="P662" s="4"/>
      <c r="Q662" s="23">
        <v>9</v>
      </c>
      <c r="R662" s="23">
        <v>134</v>
      </c>
      <c r="S662" s="23">
        <v>6795.02</v>
      </c>
      <c r="T662" s="23">
        <v>6015.22</v>
      </c>
      <c r="U662" s="23">
        <v>6015.22</v>
      </c>
      <c r="V662" s="4"/>
      <c r="W662" s="311" t="s">
        <v>218</v>
      </c>
      <c r="X662" s="312" t="s">
        <v>218</v>
      </c>
      <c r="Y662" s="122" t="s">
        <v>218</v>
      </c>
      <c r="Z662" s="312" t="s">
        <v>218</v>
      </c>
      <c r="AA662" s="122" t="s">
        <v>218</v>
      </c>
      <c r="AB662" s="313" t="str">
        <f t="shared" si="15"/>
        <v>да</v>
      </c>
      <c r="AC662" s="4" t="s">
        <v>219</v>
      </c>
      <c r="AD662" s="53" t="s">
        <v>218</v>
      </c>
      <c r="AE662" s="53" t="s">
        <v>219</v>
      </c>
      <c r="AF662" s="23"/>
      <c r="AG662" s="23">
        <v>1</v>
      </c>
      <c r="AH662" s="23">
        <v>1</v>
      </c>
      <c r="AI662" s="23">
        <v>1</v>
      </c>
      <c r="AJ662" s="23">
        <v>1</v>
      </c>
      <c r="AK662" s="23">
        <v>0</v>
      </c>
      <c r="AL662" s="4"/>
    </row>
    <row r="663" spans="1:38" ht="32.25" customHeight="1" x14ac:dyDescent="0.3">
      <c r="A663" s="5">
        <v>656</v>
      </c>
      <c r="B663" s="4" t="s">
        <v>196</v>
      </c>
      <c r="C663" s="4" t="s">
        <v>1407</v>
      </c>
      <c r="D663" s="315" t="s">
        <v>1415</v>
      </c>
      <c r="E663" s="122">
        <v>34</v>
      </c>
      <c r="F663" s="122">
        <v>2</v>
      </c>
      <c r="G663" s="122"/>
      <c r="H663" s="84" t="s">
        <v>1348</v>
      </c>
      <c r="I663" s="4" t="s">
        <v>341</v>
      </c>
      <c r="J663" s="4"/>
      <c r="K663" s="4" t="s">
        <v>801</v>
      </c>
      <c r="L663" s="310" t="s">
        <v>888</v>
      </c>
      <c r="M663" s="132">
        <v>1965</v>
      </c>
      <c r="N663" s="132" t="s">
        <v>216</v>
      </c>
      <c r="O663" s="4">
        <v>5</v>
      </c>
      <c r="P663" s="4"/>
      <c r="Q663" s="23">
        <v>9</v>
      </c>
      <c r="R663" s="23">
        <v>134</v>
      </c>
      <c r="S663" s="23">
        <v>6798.84</v>
      </c>
      <c r="T663" s="23">
        <v>6016.74</v>
      </c>
      <c r="U663" s="23">
        <v>6016.74</v>
      </c>
      <c r="V663" s="4"/>
      <c r="W663" s="311" t="s">
        <v>218</v>
      </c>
      <c r="X663" s="312" t="s">
        <v>218</v>
      </c>
      <c r="Y663" s="122" t="s">
        <v>218</v>
      </c>
      <c r="Z663" s="312" t="s">
        <v>218</v>
      </c>
      <c r="AA663" s="122" t="s">
        <v>218</v>
      </c>
      <c r="AB663" s="313" t="str">
        <f t="shared" si="15"/>
        <v>да</v>
      </c>
      <c r="AC663" s="4" t="s">
        <v>219</v>
      </c>
      <c r="AD663" s="53" t="s">
        <v>218</v>
      </c>
      <c r="AE663" s="53" t="s">
        <v>219</v>
      </c>
      <c r="AF663" s="23"/>
      <c r="AG663" s="23">
        <v>1</v>
      </c>
      <c r="AH663" s="23">
        <v>1</v>
      </c>
      <c r="AI663" s="23">
        <v>1</v>
      </c>
      <c r="AJ663" s="23">
        <v>1</v>
      </c>
      <c r="AK663" s="23">
        <v>0</v>
      </c>
      <c r="AL663" s="4"/>
    </row>
    <row r="664" spans="1:38" ht="32.25" customHeight="1" x14ac:dyDescent="0.3">
      <c r="A664" s="80">
        <v>657</v>
      </c>
      <c r="B664" s="4" t="s">
        <v>196</v>
      </c>
      <c r="C664" s="4" t="s">
        <v>1407</v>
      </c>
      <c r="D664" s="316" t="s">
        <v>1415</v>
      </c>
      <c r="E664" s="122">
        <v>34</v>
      </c>
      <c r="F664" s="122">
        <v>4</v>
      </c>
      <c r="G664" s="122"/>
      <c r="H664" s="84" t="s">
        <v>1349</v>
      </c>
      <c r="I664" s="4" t="s">
        <v>341</v>
      </c>
      <c r="J664" s="4"/>
      <c r="K664" s="4" t="s">
        <v>801</v>
      </c>
      <c r="L664" s="310" t="s">
        <v>1416</v>
      </c>
      <c r="M664" s="132">
        <v>1965</v>
      </c>
      <c r="N664" s="132" t="s">
        <v>216</v>
      </c>
      <c r="O664" s="4">
        <v>5</v>
      </c>
      <c r="P664" s="4"/>
      <c r="Q664" s="23">
        <v>9</v>
      </c>
      <c r="R664" s="23">
        <v>134</v>
      </c>
      <c r="S664" s="23">
        <v>6728.7</v>
      </c>
      <c r="T664" s="23">
        <v>6002.8</v>
      </c>
      <c r="U664" s="23">
        <v>6002.8</v>
      </c>
      <c r="V664" s="4"/>
      <c r="W664" s="311" t="s">
        <v>218</v>
      </c>
      <c r="X664" s="312" t="s">
        <v>218</v>
      </c>
      <c r="Y664" s="122" t="s">
        <v>218</v>
      </c>
      <c r="Z664" s="312" t="s">
        <v>218</v>
      </c>
      <c r="AA664" s="122" t="s">
        <v>218</v>
      </c>
      <c r="AB664" s="313" t="str">
        <f t="shared" si="15"/>
        <v>да</v>
      </c>
      <c r="AC664" s="4" t="s">
        <v>219</v>
      </c>
      <c r="AD664" s="53" t="s">
        <v>218</v>
      </c>
      <c r="AE664" s="53" t="s">
        <v>219</v>
      </c>
      <c r="AF664" s="23"/>
      <c r="AG664" s="23">
        <v>1</v>
      </c>
      <c r="AH664" s="23">
        <v>1</v>
      </c>
      <c r="AI664" s="23">
        <v>1</v>
      </c>
      <c r="AJ664" s="23">
        <v>1</v>
      </c>
      <c r="AK664" s="23">
        <v>0</v>
      </c>
      <c r="AL664" s="4"/>
    </row>
    <row r="665" spans="1:38" ht="32.25" customHeight="1" x14ac:dyDescent="0.3">
      <c r="A665" s="5">
        <v>658</v>
      </c>
      <c r="B665" s="4" t="s">
        <v>196</v>
      </c>
      <c r="C665" s="4" t="s">
        <v>1407</v>
      </c>
      <c r="D665" s="316" t="s">
        <v>813</v>
      </c>
      <c r="E665" s="122">
        <v>43</v>
      </c>
      <c r="F665" s="122">
        <v>1</v>
      </c>
      <c r="G665" s="122"/>
      <c r="H665" s="84" t="s">
        <v>1350</v>
      </c>
      <c r="I665" s="4" t="s">
        <v>341</v>
      </c>
      <c r="J665" s="4"/>
      <c r="K665" s="4" t="s">
        <v>801</v>
      </c>
      <c r="L665" s="310" t="s">
        <v>1417</v>
      </c>
      <c r="M665" s="132">
        <v>1965</v>
      </c>
      <c r="N665" s="132" t="s">
        <v>216</v>
      </c>
      <c r="O665" s="4">
        <v>5</v>
      </c>
      <c r="P665" s="4"/>
      <c r="Q665" s="23">
        <v>9</v>
      </c>
      <c r="R665" s="23">
        <v>134</v>
      </c>
      <c r="S665" s="23">
        <v>6723.44</v>
      </c>
      <c r="T665" s="23">
        <v>5980.64</v>
      </c>
      <c r="U665" s="23">
        <v>5980.64</v>
      </c>
      <c r="V665" s="4"/>
      <c r="W665" s="311" t="s">
        <v>218</v>
      </c>
      <c r="X665" s="312" t="s">
        <v>218</v>
      </c>
      <c r="Y665" s="122" t="s">
        <v>218</v>
      </c>
      <c r="Z665" s="312" t="s">
        <v>218</v>
      </c>
      <c r="AA665" s="122" t="s">
        <v>218</v>
      </c>
      <c r="AB665" s="313" t="str">
        <f t="shared" si="15"/>
        <v>да</v>
      </c>
      <c r="AC665" s="4" t="s">
        <v>219</v>
      </c>
      <c r="AD665" s="53" t="s">
        <v>218</v>
      </c>
      <c r="AE665" s="53" t="s">
        <v>219</v>
      </c>
      <c r="AF665" s="23"/>
      <c r="AG665" s="23">
        <v>1</v>
      </c>
      <c r="AH665" s="23">
        <v>1</v>
      </c>
      <c r="AI665" s="23">
        <v>1</v>
      </c>
      <c r="AJ665" s="23">
        <v>1</v>
      </c>
      <c r="AK665" s="23">
        <v>0</v>
      </c>
      <c r="AL665" s="4"/>
    </row>
    <row r="666" spans="1:38" ht="32.25" customHeight="1" x14ac:dyDescent="0.3">
      <c r="A666" s="80">
        <v>659</v>
      </c>
      <c r="B666" s="4" t="s">
        <v>196</v>
      </c>
      <c r="C666" s="4" t="s">
        <v>1407</v>
      </c>
      <c r="D666" s="316" t="s">
        <v>813</v>
      </c>
      <c r="E666" s="122">
        <v>43</v>
      </c>
      <c r="F666" s="122">
        <v>2</v>
      </c>
      <c r="G666" s="122"/>
      <c r="H666" s="84" t="s">
        <v>1351</v>
      </c>
      <c r="I666" s="4" t="s">
        <v>341</v>
      </c>
      <c r="J666" s="4"/>
      <c r="K666" s="4" t="s">
        <v>801</v>
      </c>
      <c r="L666" s="310" t="s">
        <v>1418</v>
      </c>
      <c r="M666" s="132">
        <v>1965</v>
      </c>
      <c r="N666" s="132" t="s">
        <v>216</v>
      </c>
      <c r="O666" s="4">
        <v>5</v>
      </c>
      <c r="P666" s="4"/>
      <c r="Q666" s="23">
        <v>9</v>
      </c>
      <c r="R666" s="23">
        <v>134</v>
      </c>
      <c r="S666" s="23">
        <v>6644.78</v>
      </c>
      <c r="T666" s="23">
        <v>5984.78</v>
      </c>
      <c r="U666" s="23">
        <v>5984.78</v>
      </c>
      <c r="V666" s="4"/>
      <c r="W666" s="311" t="s">
        <v>218</v>
      </c>
      <c r="X666" s="312" t="s">
        <v>218</v>
      </c>
      <c r="Y666" s="122" t="s">
        <v>218</v>
      </c>
      <c r="Z666" s="312" t="s">
        <v>218</v>
      </c>
      <c r="AA666" s="122" t="s">
        <v>218</v>
      </c>
      <c r="AB666" s="313" t="str">
        <f t="shared" si="15"/>
        <v>да</v>
      </c>
      <c r="AC666" s="4" t="s">
        <v>219</v>
      </c>
      <c r="AD666" s="53" t="s">
        <v>218</v>
      </c>
      <c r="AE666" s="53" t="s">
        <v>219</v>
      </c>
      <c r="AF666" s="23"/>
      <c r="AG666" s="23">
        <v>1</v>
      </c>
      <c r="AH666" s="23">
        <v>1</v>
      </c>
      <c r="AI666" s="23">
        <v>1</v>
      </c>
      <c r="AJ666" s="23">
        <v>1</v>
      </c>
      <c r="AK666" s="23">
        <v>0</v>
      </c>
      <c r="AL666" s="4"/>
    </row>
    <row r="667" spans="1:38" ht="32.25" customHeight="1" x14ac:dyDescent="0.3">
      <c r="A667" s="5">
        <v>660</v>
      </c>
      <c r="B667" s="4" t="s">
        <v>196</v>
      </c>
      <c r="C667" s="4" t="s">
        <v>1407</v>
      </c>
      <c r="D667" s="316" t="s">
        <v>1419</v>
      </c>
      <c r="E667" s="122">
        <v>43</v>
      </c>
      <c r="F667" s="122">
        <v>3</v>
      </c>
      <c r="G667" s="122"/>
      <c r="H667" s="84" t="s">
        <v>1352</v>
      </c>
      <c r="I667" s="4" t="s">
        <v>341</v>
      </c>
      <c r="J667" s="4"/>
      <c r="K667" s="4" t="s">
        <v>801</v>
      </c>
      <c r="L667" s="310" t="s">
        <v>1414</v>
      </c>
      <c r="M667" s="132">
        <v>1965</v>
      </c>
      <c r="N667" s="132" t="s">
        <v>216</v>
      </c>
      <c r="O667" s="4">
        <v>5</v>
      </c>
      <c r="P667" s="4"/>
      <c r="Q667" s="23">
        <v>9</v>
      </c>
      <c r="R667" s="23">
        <v>134</v>
      </c>
      <c r="S667" s="23">
        <v>6700.74</v>
      </c>
      <c r="T667" s="23">
        <v>5958.54</v>
      </c>
      <c r="U667" s="23">
        <v>5958.54</v>
      </c>
      <c r="V667" s="4"/>
      <c r="W667" s="311" t="s">
        <v>218</v>
      </c>
      <c r="X667" s="312" t="s">
        <v>218</v>
      </c>
      <c r="Y667" s="122" t="s">
        <v>218</v>
      </c>
      <c r="Z667" s="312" t="s">
        <v>218</v>
      </c>
      <c r="AA667" s="122" t="s">
        <v>218</v>
      </c>
      <c r="AB667" s="313" t="str">
        <f t="shared" si="15"/>
        <v>да</v>
      </c>
      <c r="AC667" s="4" t="s">
        <v>219</v>
      </c>
      <c r="AD667" s="53" t="s">
        <v>218</v>
      </c>
      <c r="AE667" s="53" t="s">
        <v>219</v>
      </c>
      <c r="AF667" s="23"/>
      <c r="AG667" s="23">
        <v>1</v>
      </c>
      <c r="AH667" s="23">
        <v>1</v>
      </c>
      <c r="AI667" s="23">
        <v>1</v>
      </c>
      <c r="AJ667" s="23">
        <v>1</v>
      </c>
      <c r="AK667" s="23">
        <v>0</v>
      </c>
      <c r="AL667" s="4"/>
    </row>
    <row r="668" spans="1:38" ht="32.25" customHeight="1" x14ac:dyDescent="0.3">
      <c r="A668" s="80">
        <v>661</v>
      </c>
      <c r="B668" s="4" t="s">
        <v>196</v>
      </c>
      <c r="C668" s="4" t="s">
        <v>1407</v>
      </c>
      <c r="D668" s="316" t="s">
        <v>340</v>
      </c>
      <c r="E668" s="122">
        <v>45</v>
      </c>
      <c r="F668" s="122"/>
      <c r="G668" s="122"/>
      <c r="H668" s="84" t="s">
        <v>1504</v>
      </c>
      <c r="I668" s="4" t="s">
        <v>341</v>
      </c>
      <c r="J668" s="4"/>
      <c r="K668" s="4" t="s">
        <v>801</v>
      </c>
      <c r="L668" s="310" t="s">
        <v>1414</v>
      </c>
      <c r="M668" s="132">
        <v>1970</v>
      </c>
      <c r="N668" s="132" t="s">
        <v>318</v>
      </c>
      <c r="O668" s="4">
        <v>9</v>
      </c>
      <c r="P668" s="4"/>
      <c r="Q668" s="23">
        <v>1</v>
      </c>
      <c r="R668" s="23">
        <v>45</v>
      </c>
      <c r="S668" s="23">
        <v>2431.52</v>
      </c>
      <c r="T668" s="23">
        <v>2056.12</v>
      </c>
      <c r="U668" s="23">
        <v>2005.42</v>
      </c>
      <c r="V668" s="4">
        <v>50.7</v>
      </c>
      <c r="W668" s="311" t="s">
        <v>218</v>
      </c>
      <c r="X668" s="312" t="s">
        <v>218</v>
      </c>
      <c r="Y668" s="122" t="s">
        <v>218</v>
      </c>
      <c r="Z668" s="312" t="s">
        <v>218</v>
      </c>
      <c r="AA668" s="122" t="s">
        <v>218</v>
      </c>
      <c r="AB668" s="313" t="str">
        <f t="shared" si="15"/>
        <v>да</v>
      </c>
      <c r="AC668" s="4" t="s">
        <v>219</v>
      </c>
      <c r="AD668" s="53" t="s">
        <v>218</v>
      </c>
      <c r="AE668" s="53" t="s">
        <v>219</v>
      </c>
      <c r="AF668" s="23">
        <v>1</v>
      </c>
      <c r="AG668" s="23">
        <v>2</v>
      </c>
      <c r="AH668" s="23">
        <v>1</v>
      </c>
      <c r="AI668" s="23">
        <v>1</v>
      </c>
      <c r="AJ668" s="23">
        <v>1</v>
      </c>
      <c r="AK668" s="23">
        <v>0</v>
      </c>
      <c r="AL668" s="4"/>
    </row>
    <row r="669" spans="1:38" ht="32.25" customHeight="1" x14ac:dyDescent="0.3">
      <c r="A669" s="5">
        <v>662</v>
      </c>
      <c r="B669" s="4" t="s">
        <v>196</v>
      </c>
      <c r="C669" s="4" t="s">
        <v>1407</v>
      </c>
      <c r="D669" s="316" t="s">
        <v>1420</v>
      </c>
      <c r="E669" s="122">
        <v>56</v>
      </c>
      <c r="F669" s="122"/>
      <c r="G669" s="122"/>
      <c r="H669" s="84" t="s">
        <v>1505</v>
      </c>
      <c r="I669" s="4" t="s">
        <v>341</v>
      </c>
      <c r="J669" s="4"/>
      <c r="K669" s="4" t="s">
        <v>801</v>
      </c>
      <c r="L669" s="310" t="s">
        <v>1421</v>
      </c>
      <c r="M669" s="132">
        <v>1966</v>
      </c>
      <c r="N669" s="132" t="s">
        <v>216</v>
      </c>
      <c r="O669" s="4">
        <v>5</v>
      </c>
      <c r="P669" s="4"/>
      <c r="Q669" s="23">
        <v>6</v>
      </c>
      <c r="R669" s="23">
        <v>90</v>
      </c>
      <c r="S669" s="23">
        <v>4503.8999999999996</v>
      </c>
      <c r="T669" s="23">
        <v>4001.6</v>
      </c>
      <c r="U669" s="23">
        <v>4001.6</v>
      </c>
      <c r="V669" s="4"/>
      <c r="W669" s="311" t="s">
        <v>218</v>
      </c>
      <c r="X669" s="312" t="s">
        <v>218</v>
      </c>
      <c r="Y669" s="122" t="s">
        <v>218</v>
      </c>
      <c r="Z669" s="312" t="s">
        <v>218</v>
      </c>
      <c r="AA669" s="122" t="s">
        <v>218</v>
      </c>
      <c r="AB669" s="313" t="str">
        <f t="shared" si="15"/>
        <v>да</v>
      </c>
      <c r="AC669" s="4" t="s">
        <v>219</v>
      </c>
      <c r="AD669" s="53" t="s">
        <v>218</v>
      </c>
      <c r="AE669" s="53" t="s">
        <v>219</v>
      </c>
      <c r="AF669" s="23"/>
      <c r="AG669" s="23">
        <v>1</v>
      </c>
      <c r="AH669" s="23">
        <v>1</v>
      </c>
      <c r="AI669" s="23">
        <v>1</v>
      </c>
      <c r="AJ669" s="23">
        <v>1</v>
      </c>
      <c r="AK669" s="23">
        <v>0</v>
      </c>
      <c r="AL669" s="4"/>
    </row>
    <row r="670" spans="1:38" ht="32.25" customHeight="1" x14ac:dyDescent="0.3">
      <c r="A670" s="80">
        <v>663</v>
      </c>
      <c r="B670" s="4" t="s">
        <v>196</v>
      </c>
      <c r="C670" s="4" t="s">
        <v>1407</v>
      </c>
      <c r="D670" s="316" t="s">
        <v>1419</v>
      </c>
      <c r="E670" s="122">
        <v>60</v>
      </c>
      <c r="F670" s="122"/>
      <c r="G670" s="122"/>
      <c r="H670" s="84" t="s">
        <v>1506</v>
      </c>
      <c r="I670" s="4" t="s">
        <v>341</v>
      </c>
      <c r="J670" s="4"/>
      <c r="K670" s="4" t="s">
        <v>801</v>
      </c>
      <c r="L670" s="310" t="s">
        <v>919</v>
      </c>
      <c r="M670" s="132">
        <v>1966</v>
      </c>
      <c r="N670" s="132" t="s">
        <v>216</v>
      </c>
      <c r="O670" s="4">
        <v>5</v>
      </c>
      <c r="P670" s="4"/>
      <c r="Q670" s="23">
        <v>9</v>
      </c>
      <c r="R670" s="23">
        <v>134</v>
      </c>
      <c r="S670" s="23">
        <v>6808.25</v>
      </c>
      <c r="T670" s="23">
        <v>6042.25</v>
      </c>
      <c r="U670" s="23">
        <v>6042.25</v>
      </c>
      <c r="V670" s="4"/>
      <c r="W670" s="311" t="s">
        <v>218</v>
      </c>
      <c r="X670" s="312" t="s">
        <v>218</v>
      </c>
      <c r="Y670" s="122" t="s">
        <v>218</v>
      </c>
      <c r="Z670" s="312" t="s">
        <v>218</v>
      </c>
      <c r="AA670" s="122" t="s">
        <v>218</v>
      </c>
      <c r="AB670" s="313" t="str">
        <f t="shared" si="15"/>
        <v>да</v>
      </c>
      <c r="AC670" s="4" t="s">
        <v>219</v>
      </c>
      <c r="AD670" s="53" t="s">
        <v>218</v>
      </c>
      <c r="AE670" s="53" t="s">
        <v>219</v>
      </c>
      <c r="AF670" s="23"/>
      <c r="AG670" s="23">
        <v>1</v>
      </c>
      <c r="AH670" s="23">
        <v>1</v>
      </c>
      <c r="AI670" s="23">
        <v>1</v>
      </c>
      <c r="AJ670" s="23">
        <v>1</v>
      </c>
      <c r="AK670" s="23">
        <v>0</v>
      </c>
      <c r="AL670" s="4"/>
    </row>
    <row r="671" spans="1:38" ht="32.25" customHeight="1" x14ac:dyDescent="0.3">
      <c r="A671" s="5">
        <v>664</v>
      </c>
      <c r="B671" s="4" t="s">
        <v>196</v>
      </c>
      <c r="C671" s="4" t="s">
        <v>1407</v>
      </c>
      <c r="D671" s="317" t="s">
        <v>1419</v>
      </c>
      <c r="E671" s="122">
        <v>69</v>
      </c>
      <c r="F671" s="122">
        <v>2</v>
      </c>
      <c r="G671" s="122"/>
      <c r="H671" s="84" t="s">
        <v>1507</v>
      </c>
      <c r="I671" s="4" t="s">
        <v>341</v>
      </c>
      <c r="J671" s="4"/>
      <c r="K671" s="4" t="s">
        <v>801</v>
      </c>
      <c r="L671" s="310" t="s">
        <v>1422</v>
      </c>
      <c r="M671" s="132">
        <v>1973</v>
      </c>
      <c r="N671" s="132" t="s">
        <v>216</v>
      </c>
      <c r="O671" s="4">
        <v>5</v>
      </c>
      <c r="P671" s="4"/>
      <c r="Q671" s="23">
        <v>7</v>
      </c>
      <c r="R671" s="23">
        <v>251</v>
      </c>
      <c r="S671" s="23">
        <v>15180.91</v>
      </c>
      <c r="T671" s="23">
        <v>13502.11</v>
      </c>
      <c r="U671" s="23">
        <v>13489.01</v>
      </c>
      <c r="V671" s="4">
        <v>13.1</v>
      </c>
      <c r="W671" s="311" t="s">
        <v>218</v>
      </c>
      <c r="X671" s="312" t="s">
        <v>218</v>
      </c>
      <c r="Y671" s="122" t="s">
        <v>218</v>
      </c>
      <c r="Z671" s="312" t="s">
        <v>218</v>
      </c>
      <c r="AA671" s="122" t="s">
        <v>218</v>
      </c>
      <c r="AB671" s="313" t="str">
        <f t="shared" si="15"/>
        <v>да</v>
      </c>
      <c r="AC671" s="4" t="s">
        <v>219</v>
      </c>
      <c r="AD671" s="53" t="s">
        <v>218</v>
      </c>
      <c r="AE671" s="53" t="s">
        <v>219</v>
      </c>
      <c r="AF671" s="23">
        <v>7</v>
      </c>
      <c r="AG671" s="23">
        <v>2</v>
      </c>
      <c r="AH671" s="23">
        <v>1</v>
      </c>
      <c r="AI671" s="23">
        <v>2</v>
      </c>
      <c r="AJ671" s="23">
        <v>2</v>
      </c>
      <c r="AK671" s="23">
        <v>0</v>
      </c>
      <c r="AL671" s="4"/>
    </row>
    <row r="672" spans="1:38" ht="32.25" customHeight="1" x14ac:dyDescent="0.3">
      <c r="A672" s="80">
        <v>665</v>
      </c>
      <c r="B672" s="4" t="s">
        <v>196</v>
      </c>
      <c r="C672" s="4" t="s">
        <v>1407</v>
      </c>
      <c r="D672" s="317" t="s">
        <v>340</v>
      </c>
      <c r="E672" s="122">
        <v>71</v>
      </c>
      <c r="F672" s="122">
        <v>1</v>
      </c>
      <c r="G672" s="122"/>
      <c r="H672" s="84" t="s">
        <v>1508</v>
      </c>
      <c r="I672" s="4" t="s">
        <v>341</v>
      </c>
      <c r="J672" s="4"/>
      <c r="K672" s="4" t="s">
        <v>801</v>
      </c>
      <c r="L672" s="310" t="s">
        <v>1423</v>
      </c>
      <c r="M672" s="132">
        <v>1975</v>
      </c>
      <c r="N672" s="132" t="s">
        <v>216</v>
      </c>
      <c r="O672" s="4">
        <v>9</v>
      </c>
      <c r="P672" s="4"/>
      <c r="Q672" s="23">
        <v>11</v>
      </c>
      <c r="R672" s="23">
        <v>463</v>
      </c>
      <c r="S672" s="23">
        <v>30968.44</v>
      </c>
      <c r="T672" s="23">
        <v>27233.54</v>
      </c>
      <c r="U672" s="23">
        <v>23271.34</v>
      </c>
      <c r="V672" s="4">
        <v>3962.2</v>
      </c>
      <c r="W672" s="311" t="s">
        <v>218</v>
      </c>
      <c r="X672" s="312" t="s">
        <v>218</v>
      </c>
      <c r="Y672" s="122" t="s">
        <v>218</v>
      </c>
      <c r="Z672" s="312" t="s">
        <v>218</v>
      </c>
      <c r="AA672" s="122" t="s">
        <v>218</v>
      </c>
      <c r="AB672" s="313" t="str">
        <f t="shared" si="15"/>
        <v>да</v>
      </c>
      <c r="AC672" s="4" t="s">
        <v>219</v>
      </c>
      <c r="AD672" s="53" t="s">
        <v>218</v>
      </c>
      <c r="AE672" s="53" t="s">
        <v>219</v>
      </c>
      <c r="AF672" s="23">
        <v>11</v>
      </c>
      <c r="AG672" s="23">
        <v>2</v>
      </c>
      <c r="AH672" s="23">
        <v>1</v>
      </c>
      <c r="AI672" s="23">
        <v>3</v>
      </c>
      <c r="AJ672" s="23">
        <v>3</v>
      </c>
      <c r="AK672" s="23">
        <v>0</v>
      </c>
      <c r="AL672" s="4"/>
    </row>
    <row r="673" spans="1:38" ht="32.25" customHeight="1" x14ac:dyDescent="0.3">
      <c r="A673" s="5">
        <v>666</v>
      </c>
      <c r="B673" s="4" t="s">
        <v>196</v>
      </c>
      <c r="C673" s="4" t="s">
        <v>1407</v>
      </c>
      <c r="D673" s="317" t="s">
        <v>340</v>
      </c>
      <c r="E673" s="122">
        <v>71</v>
      </c>
      <c r="F673" s="122">
        <v>4</v>
      </c>
      <c r="G673" s="122"/>
      <c r="H673" s="84" t="s">
        <v>1509</v>
      </c>
      <c r="I673" s="4" t="s">
        <v>341</v>
      </c>
      <c r="J673" s="4"/>
      <c r="K673" s="4" t="s">
        <v>801</v>
      </c>
      <c r="L673" s="310" t="s">
        <v>1424</v>
      </c>
      <c r="M673" s="132">
        <v>1980</v>
      </c>
      <c r="N673" s="132" t="s">
        <v>216</v>
      </c>
      <c r="O673" s="4">
        <v>15</v>
      </c>
      <c r="P673" s="4"/>
      <c r="Q673" s="23">
        <v>2</v>
      </c>
      <c r="R673" s="23">
        <v>28</v>
      </c>
      <c r="S673" s="23">
        <v>8300.18</v>
      </c>
      <c r="T673" s="23">
        <v>6327.48</v>
      </c>
      <c r="U673" s="23">
        <v>5633.08</v>
      </c>
      <c r="V673" s="4">
        <v>694.4</v>
      </c>
      <c r="W673" s="311" t="s">
        <v>218</v>
      </c>
      <c r="X673" s="312" t="s">
        <v>218</v>
      </c>
      <c r="Y673" s="122" t="s">
        <v>218</v>
      </c>
      <c r="Z673" s="312" t="s">
        <v>218</v>
      </c>
      <c r="AA673" s="122" t="s">
        <v>218</v>
      </c>
      <c r="AB673" s="313" t="str">
        <f t="shared" si="15"/>
        <v>нет</v>
      </c>
      <c r="AC673" s="4" t="s">
        <v>219</v>
      </c>
      <c r="AD673" s="53" t="s">
        <v>219</v>
      </c>
      <c r="AE673" s="53" t="s">
        <v>218</v>
      </c>
      <c r="AF673" s="23">
        <v>2</v>
      </c>
      <c r="AG673" s="23">
        <v>3</v>
      </c>
      <c r="AH673" s="23">
        <v>1</v>
      </c>
      <c r="AI673" s="23">
        <v>1</v>
      </c>
      <c r="AJ673" s="23">
        <v>1</v>
      </c>
      <c r="AK673" s="23">
        <v>0</v>
      </c>
      <c r="AL673" s="4"/>
    </row>
    <row r="674" spans="1:38" ht="32.25" customHeight="1" x14ac:dyDescent="0.3">
      <c r="A674" s="80">
        <v>667</v>
      </c>
      <c r="B674" s="4" t="s">
        <v>196</v>
      </c>
      <c r="C674" s="4" t="s">
        <v>1407</v>
      </c>
      <c r="D674" s="317" t="s">
        <v>1419</v>
      </c>
      <c r="E674" s="334">
        <v>72</v>
      </c>
      <c r="F674" s="334">
        <v>3</v>
      </c>
      <c r="G674" s="334"/>
      <c r="H674" s="84" t="s">
        <v>1510</v>
      </c>
      <c r="I674" s="318" t="s">
        <v>341</v>
      </c>
      <c r="J674" s="318"/>
      <c r="K674" s="4" t="s">
        <v>801</v>
      </c>
      <c r="L674" s="310" t="s">
        <v>1425</v>
      </c>
      <c r="M674" s="324">
        <v>1973</v>
      </c>
      <c r="N674" s="132" t="s">
        <v>216</v>
      </c>
      <c r="O674" s="4">
        <v>9</v>
      </c>
      <c r="P674" s="318"/>
      <c r="Q674" s="319">
        <v>9</v>
      </c>
      <c r="R674" s="319">
        <v>324</v>
      </c>
      <c r="S674" s="319">
        <v>18934.099999999999</v>
      </c>
      <c r="T674" s="319">
        <v>17414.2</v>
      </c>
      <c r="U674" s="319">
        <v>17414.2</v>
      </c>
      <c r="V674" s="318"/>
      <c r="W674" s="311" t="s">
        <v>218</v>
      </c>
      <c r="X674" s="312" t="s">
        <v>218</v>
      </c>
      <c r="Y674" s="122" t="s">
        <v>218</v>
      </c>
      <c r="Z674" s="312" t="s">
        <v>218</v>
      </c>
      <c r="AA674" s="122" t="s">
        <v>218</v>
      </c>
      <c r="AB674" s="313" t="str">
        <f t="shared" si="15"/>
        <v>да</v>
      </c>
      <c r="AC674" s="4" t="s">
        <v>219</v>
      </c>
      <c r="AD674" s="53" t="s">
        <v>218</v>
      </c>
      <c r="AE674" s="53" t="s">
        <v>219</v>
      </c>
      <c r="AF674" s="319">
        <v>9</v>
      </c>
      <c r="AG674" s="319">
        <v>4</v>
      </c>
      <c r="AH674" s="23">
        <v>1</v>
      </c>
      <c r="AI674" s="23">
        <v>3</v>
      </c>
      <c r="AJ674" s="23">
        <v>3</v>
      </c>
      <c r="AK674" s="23">
        <v>0</v>
      </c>
      <c r="AL674" s="318"/>
    </row>
    <row r="675" spans="1:38" ht="32.25" customHeight="1" x14ac:dyDescent="0.3">
      <c r="A675" s="5">
        <v>668</v>
      </c>
      <c r="B675" s="320" t="s">
        <v>196</v>
      </c>
      <c r="C675" s="4" t="s">
        <v>1407</v>
      </c>
      <c r="D675" s="321" t="s">
        <v>340</v>
      </c>
      <c r="E675" s="122">
        <v>74</v>
      </c>
      <c r="F675" s="122">
        <v>5</v>
      </c>
      <c r="G675" s="122"/>
      <c r="H675" s="84" t="s">
        <v>1511</v>
      </c>
      <c r="I675" s="4" t="s">
        <v>341</v>
      </c>
      <c r="J675" s="4"/>
      <c r="K675" s="4" t="s">
        <v>801</v>
      </c>
      <c r="L675" s="310" t="s">
        <v>814</v>
      </c>
      <c r="M675" s="132">
        <v>1981</v>
      </c>
      <c r="N675" s="132" t="s">
        <v>318</v>
      </c>
      <c r="O675" s="4">
        <v>16</v>
      </c>
      <c r="P675" s="4"/>
      <c r="Q675" s="23">
        <v>1</v>
      </c>
      <c r="R675" s="23">
        <v>110</v>
      </c>
      <c r="S675" s="23">
        <v>6645.4</v>
      </c>
      <c r="T675" s="23">
        <v>5597.3</v>
      </c>
      <c r="U675" s="23">
        <v>5597.3</v>
      </c>
      <c r="V675" s="4"/>
      <c r="W675" s="311" t="s">
        <v>218</v>
      </c>
      <c r="X675" s="312" t="s">
        <v>218</v>
      </c>
      <c r="Y675" s="122" t="s">
        <v>218</v>
      </c>
      <c r="Z675" s="312" t="s">
        <v>218</v>
      </c>
      <c r="AA675" s="122" t="s">
        <v>218</v>
      </c>
      <c r="AB675" s="313" t="str">
        <f t="shared" si="15"/>
        <v>нет</v>
      </c>
      <c r="AC675" s="4" t="s">
        <v>219</v>
      </c>
      <c r="AD675" s="53" t="s">
        <v>219</v>
      </c>
      <c r="AE675" s="53" t="s">
        <v>218</v>
      </c>
      <c r="AF675" s="23">
        <v>2</v>
      </c>
      <c r="AG675" s="23">
        <v>2</v>
      </c>
      <c r="AH675" s="23">
        <v>1</v>
      </c>
      <c r="AI675" s="23">
        <v>1</v>
      </c>
      <c r="AJ675" s="23">
        <v>1</v>
      </c>
      <c r="AK675" s="23">
        <v>0</v>
      </c>
      <c r="AL675" s="4"/>
    </row>
    <row r="676" spans="1:38" ht="32.25" customHeight="1" x14ac:dyDescent="0.3">
      <c r="A676" s="80">
        <v>669</v>
      </c>
      <c r="B676" s="320" t="s">
        <v>196</v>
      </c>
      <c r="C676" s="4" t="s">
        <v>1407</v>
      </c>
      <c r="D676" s="321" t="s">
        <v>340</v>
      </c>
      <c r="E676" s="122">
        <v>77</v>
      </c>
      <c r="F676" s="122"/>
      <c r="G676" s="122"/>
      <c r="H676" s="84" t="s">
        <v>1512</v>
      </c>
      <c r="I676" s="4" t="s">
        <v>341</v>
      </c>
      <c r="J676" s="4"/>
      <c r="K676" s="4" t="s">
        <v>801</v>
      </c>
      <c r="L676" s="310" t="s">
        <v>1426</v>
      </c>
      <c r="M676" s="132">
        <v>1983</v>
      </c>
      <c r="N676" s="132" t="s">
        <v>216</v>
      </c>
      <c r="O676" s="4">
        <v>12</v>
      </c>
      <c r="P676" s="4"/>
      <c r="Q676" s="23">
        <v>2</v>
      </c>
      <c r="R676" s="23">
        <v>144</v>
      </c>
      <c r="S676" s="23">
        <v>8997.2000000000007</v>
      </c>
      <c r="T676" s="23">
        <v>7768.5</v>
      </c>
      <c r="U676" s="23">
        <v>7704.5</v>
      </c>
      <c r="V676" s="4">
        <v>64</v>
      </c>
      <c r="W676" s="311" t="s">
        <v>218</v>
      </c>
      <c r="X676" s="312" t="s">
        <v>218</v>
      </c>
      <c r="Y676" s="122" t="s">
        <v>218</v>
      </c>
      <c r="Z676" s="312" t="s">
        <v>218</v>
      </c>
      <c r="AA676" s="122" t="s">
        <v>218</v>
      </c>
      <c r="AB676" s="313" t="str">
        <f t="shared" si="15"/>
        <v>нет</v>
      </c>
      <c r="AC676" s="4" t="s">
        <v>219</v>
      </c>
      <c r="AD676" s="53" t="s">
        <v>219</v>
      </c>
      <c r="AE676" s="53" t="s">
        <v>218</v>
      </c>
      <c r="AF676" s="23">
        <v>4</v>
      </c>
      <c r="AG676" s="23">
        <v>2</v>
      </c>
      <c r="AH676" s="23">
        <v>1</v>
      </c>
      <c r="AI676" s="23">
        <v>1</v>
      </c>
      <c r="AJ676" s="23">
        <v>1</v>
      </c>
      <c r="AK676" s="23">
        <v>0</v>
      </c>
      <c r="AL676" s="4"/>
    </row>
    <row r="677" spans="1:38" ht="32.25" customHeight="1" x14ac:dyDescent="0.3">
      <c r="A677" s="5">
        <v>670</v>
      </c>
      <c r="B677" s="320" t="s">
        <v>196</v>
      </c>
      <c r="C677" s="4" t="s">
        <v>1427</v>
      </c>
      <c r="D677" s="321" t="s">
        <v>340</v>
      </c>
      <c r="E677" s="122">
        <v>89</v>
      </c>
      <c r="F677" s="122">
        <v>1</v>
      </c>
      <c r="G677" s="122"/>
      <c r="H677" s="84" t="s">
        <v>1513</v>
      </c>
      <c r="I677" s="4" t="s">
        <v>341</v>
      </c>
      <c r="J677" s="4"/>
      <c r="K677" s="4" t="s">
        <v>801</v>
      </c>
      <c r="L677" s="310" t="s">
        <v>1421</v>
      </c>
      <c r="M677" s="132">
        <v>1976</v>
      </c>
      <c r="N677" s="132" t="s">
        <v>216</v>
      </c>
      <c r="O677" s="4">
        <v>9</v>
      </c>
      <c r="P677" s="4"/>
      <c r="Q677" s="23">
        <v>15</v>
      </c>
      <c r="R677" s="23">
        <v>553</v>
      </c>
      <c r="S677" s="23">
        <v>31685.79</v>
      </c>
      <c r="T677" s="23">
        <v>29158.19</v>
      </c>
      <c r="U677" s="23">
        <v>29078.69</v>
      </c>
      <c r="V677" s="4">
        <v>79.5</v>
      </c>
      <c r="W677" s="311" t="s">
        <v>218</v>
      </c>
      <c r="X677" s="312" t="s">
        <v>218</v>
      </c>
      <c r="Y677" s="122" t="s">
        <v>218</v>
      </c>
      <c r="Z677" s="312" t="s">
        <v>218</v>
      </c>
      <c r="AA677" s="122" t="s">
        <v>218</v>
      </c>
      <c r="AB677" s="313" t="str">
        <f t="shared" si="15"/>
        <v>да</v>
      </c>
      <c r="AC677" s="4" t="s">
        <v>219</v>
      </c>
      <c r="AD677" s="53" t="s">
        <v>218</v>
      </c>
      <c r="AE677" s="53" t="s">
        <v>219</v>
      </c>
      <c r="AF677" s="23">
        <v>15</v>
      </c>
      <c r="AG677" s="23">
        <v>4</v>
      </c>
      <c r="AH677" s="23">
        <v>2</v>
      </c>
      <c r="AI677" s="23">
        <v>3</v>
      </c>
      <c r="AJ677" s="23">
        <v>3</v>
      </c>
      <c r="AK677" s="23">
        <v>0</v>
      </c>
      <c r="AL677" s="4"/>
    </row>
    <row r="678" spans="1:38" ht="32.25" customHeight="1" x14ac:dyDescent="0.3">
      <c r="A678" s="80">
        <v>671</v>
      </c>
      <c r="B678" s="320" t="s">
        <v>196</v>
      </c>
      <c r="C678" s="4" t="s">
        <v>1427</v>
      </c>
      <c r="D678" s="321" t="s">
        <v>340</v>
      </c>
      <c r="E678" s="122">
        <v>91</v>
      </c>
      <c r="F678" s="122">
        <v>2</v>
      </c>
      <c r="G678" s="122"/>
      <c r="H678" s="84" t="s">
        <v>1514</v>
      </c>
      <c r="I678" s="4" t="s">
        <v>341</v>
      </c>
      <c r="J678" s="4"/>
      <c r="K678" s="4" t="s">
        <v>801</v>
      </c>
      <c r="L678" s="310" t="s">
        <v>1428</v>
      </c>
      <c r="M678" s="132">
        <v>1976</v>
      </c>
      <c r="N678" s="132" t="s">
        <v>216</v>
      </c>
      <c r="O678" s="4">
        <v>9</v>
      </c>
      <c r="P678" s="4"/>
      <c r="Q678" s="23">
        <v>2</v>
      </c>
      <c r="R678" s="23">
        <v>72</v>
      </c>
      <c r="S678" s="23">
        <v>4451.3599999999997</v>
      </c>
      <c r="T678" s="23">
        <v>4058.06</v>
      </c>
      <c r="U678" s="23">
        <v>4058.06</v>
      </c>
      <c r="V678" s="4"/>
      <c r="W678" s="311" t="s">
        <v>218</v>
      </c>
      <c r="X678" s="312" t="s">
        <v>218</v>
      </c>
      <c r="Y678" s="122" t="s">
        <v>218</v>
      </c>
      <c r="Z678" s="312" t="s">
        <v>218</v>
      </c>
      <c r="AA678" s="122" t="s">
        <v>218</v>
      </c>
      <c r="AB678" s="313" t="str">
        <f t="shared" si="15"/>
        <v>да</v>
      </c>
      <c r="AC678" s="4" t="s">
        <v>219</v>
      </c>
      <c r="AD678" s="53" t="s">
        <v>218</v>
      </c>
      <c r="AE678" s="53" t="s">
        <v>219</v>
      </c>
      <c r="AF678" s="23">
        <v>2</v>
      </c>
      <c r="AG678" s="23">
        <v>2</v>
      </c>
      <c r="AH678" s="23">
        <v>1</v>
      </c>
      <c r="AI678" s="23">
        <v>1</v>
      </c>
      <c r="AJ678" s="23">
        <v>1</v>
      </c>
      <c r="AK678" s="23">
        <v>0</v>
      </c>
      <c r="AL678" s="4"/>
    </row>
    <row r="679" spans="1:38" ht="32.25" customHeight="1" x14ac:dyDescent="0.3">
      <c r="A679" s="5">
        <v>672</v>
      </c>
      <c r="B679" s="320" t="s">
        <v>196</v>
      </c>
      <c r="C679" s="4" t="s">
        <v>1427</v>
      </c>
      <c r="D679" s="321" t="s">
        <v>1429</v>
      </c>
      <c r="E679" s="122">
        <v>95</v>
      </c>
      <c r="F679" s="122">
        <v>1</v>
      </c>
      <c r="G679" s="122"/>
      <c r="H679" s="84" t="s">
        <v>1515</v>
      </c>
      <c r="I679" s="4" t="s">
        <v>341</v>
      </c>
      <c r="J679" s="4"/>
      <c r="K679" s="4" t="s">
        <v>801</v>
      </c>
      <c r="L679" s="310" t="s">
        <v>1428</v>
      </c>
      <c r="M679" s="132">
        <v>1976</v>
      </c>
      <c r="N679" s="132" t="s">
        <v>216</v>
      </c>
      <c r="O679" s="4">
        <v>9</v>
      </c>
      <c r="P679" s="4"/>
      <c r="Q679" s="23">
        <v>12</v>
      </c>
      <c r="R679" s="23">
        <v>438</v>
      </c>
      <c r="S679" s="23">
        <v>25555.09</v>
      </c>
      <c r="T679" s="23">
        <v>23573.29</v>
      </c>
      <c r="U679" s="23">
        <v>23533.49</v>
      </c>
      <c r="V679" s="4">
        <v>39.799999999999997</v>
      </c>
      <c r="W679" s="311" t="s">
        <v>218</v>
      </c>
      <c r="X679" s="312" t="s">
        <v>218</v>
      </c>
      <c r="Y679" s="122" t="s">
        <v>218</v>
      </c>
      <c r="Z679" s="312" t="s">
        <v>218</v>
      </c>
      <c r="AA679" s="122" t="s">
        <v>218</v>
      </c>
      <c r="AB679" s="313" t="str">
        <f t="shared" si="15"/>
        <v>да</v>
      </c>
      <c r="AC679" s="4" t="s">
        <v>219</v>
      </c>
      <c r="AD679" s="53" t="s">
        <v>218</v>
      </c>
      <c r="AE679" s="53" t="s">
        <v>219</v>
      </c>
      <c r="AF679" s="23">
        <v>12</v>
      </c>
      <c r="AG679" s="23">
        <v>4</v>
      </c>
      <c r="AH679" s="23">
        <v>3</v>
      </c>
      <c r="AI679" s="23">
        <v>3</v>
      </c>
      <c r="AJ679" s="23">
        <v>3</v>
      </c>
      <c r="AK679" s="23">
        <v>0</v>
      </c>
      <c r="AL679" s="4"/>
    </row>
    <row r="680" spans="1:38" ht="32.25" customHeight="1" x14ac:dyDescent="0.3">
      <c r="A680" s="80">
        <v>673</v>
      </c>
      <c r="B680" s="320" t="s">
        <v>196</v>
      </c>
      <c r="C680" s="4" t="s">
        <v>1427</v>
      </c>
      <c r="D680" s="321" t="s">
        <v>1429</v>
      </c>
      <c r="E680" s="122">
        <v>99</v>
      </c>
      <c r="F680" s="122"/>
      <c r="G680" s="122"/>
      <c r="H680" s="84" t="s">
        <v>1516</v>
      </c>
      <c r="I680" s="4" t="s">
        <v>341</v>
      </c>
      <c r="J680" s="4"/>
      <c r="K680" s="4" t="s">
        <v>801</v>
      </c>
      <c r="L680" s="310" t="s">
        <v>1430</v>
      </c>
      <c r="M680" s="132">
        <v>1983</v>
      </c>
      <c r="N680" s="132" t="s">
        <v>216</v>
      </c>
      <c r="O680" s="4">
        <v>9</v>
      </c>
      <c r="P680" s="4"/>
      <c r="Q680" s="23">
        <v>2</v>
      </c>
      <c r="R680" s="23">
        <v>46</v>
      </c>
      <c r="S680" s="23">
        <v>8518.2900000000009</v>
      </c>
      <c r="T680" s="23">
        <v>6055.29</v>
      </c>
      <c r="U680" s="23">
        <v>5551.49</v>
      </c>
      <c r="V680" s="4">
        <v>503.8</v>
      </c>
      <c r="W680" s="311" t="s">
        <v>218</v>
      </c>
      <c r="X680" s="312" t="s">
        <v>218</v>
      </c>
      <c r="Y680" s="122" t="s">
        <v>218</v>
      </c>
      <c r="Z680" s="312" t="s">
        <v>218</v>
      </c>
      <c r="AA680" s="122" t="s">
        <v>218</v>
      </c>
      <c r="AB680" s="313" t="str">
        <f t="shared" si="15"/>
        <v>да</v>
      </c>
      <c r="AC680" s="4" t="s">
        <v>219</v>
      </c>
      <c r="AD680" s="53" t="s">
        <v>218</v>
      </c>
      <c r="AE680" s="53" t="s">
        <v>219</v>
      </c>
      <c r="AF680" s="23">
        <v>3</v>
      </c>
      <c r="AG680" s="23">
        <v>2</v>
      </c>
      <c r="AH680" s="23">
        <v>4</v>
      </c>
      <c r="AI680" s="23">
        <v>1</v>
      </c>
      <c r="AJ680" s="23">
        <v>1</v>
      </c>
      <c r="AK680" s="23">
        <v>0</v>
      </c>
      <c r="AL680" s="4"/>
    </row>
    <row r="681" spans="1:38" ht="32.25" customHeight="1" x14ac:dyDescent="0.3">
      <c r="A681" s="5">
        <v>674</v>
      </c>
      <c r="B681" s="320" t="s">
        <v>196</v>
      </c>
      <c r="C681" s="4" t="s">
        <v>1427</v>
      </c>
      <c r="D681" s="321" t="s">
        <v>340</v>
      </c>
      <c r="E681" s="386">
        <v>104</v>
      </c>
      <c r="F681" s="386">
        <v>2</v>
      </c>
      <c r="G681" s="386"/>
      <c r="H681" s="84" t="s">
        <v>1517</v>
      </c>
      <c r="I681" s="4" t="s">
        <v>341</v>
      </c>
      <c r="J681" s="4"/>
      <c r="K681" s="4" t="s">
        <v>801</v>
      </c>
      <c r="L681" s="310" t="s">
        <v>1431</v>
      </c>
      <c r="M681" s="132">
        <v>1990</v>
      </c>
      <c r="N681" s="132" t="s">
        <v>216</v>
      </c>
      <c r="O681" s="4">
        <v>9</v>
      </c>
      <c r="P681" s="4"/>
      <c r="Q681" s="23">
        <v>13</v>
      </c>
      <c r="R681" s="23">
        <v>110</v>
      </c>
      <c r="S681" s="23">
        <v>6604.9</v>
      </c>
      <c r="T681" s="23">
        <v>5572</v>
      </c>
      <c r="U681" s="23">
        <v>5572</v>
      </c>
      <c r="V681" s="4"/>
      <c r="W681" s="311" t="s">
        <v>218</v>
      </c>
      <c r="X681" s="312" t="s">
        <v>218</v>
      </c>
      <c r="Y681" s="122" t="s">
        <v>218</v>
      </c>
      <c r="Z681" s="312" t="s">
        <v>218</v>
      </c>
      <c r="AA681" s="122" t="s">
        <v>218</v>
      </c>
      <c r="AB681" s="313" t="str">
        <f t="shared" si="15"/>
        <v>да</v>
      </c>
      <c r="AC681" s="4" t="s">
        <v>219</v>
      </c>
      <c r="AD681" s="53" t="s">
        <v>218</v>
      </c>
      <c r="AE681" s="53" t="s">
        <v>219</v>
      </c>
      <c r="AF681" s="23">
        <v>2</v>
      </c>
      <c r="AG681" s="23">
        <v>3</v>
      </c>
      <c r="AH681" s="23">
        <v>1</v>
      </c>
      <c r="AI681" s="23">
        <v>1</v>
      </c>
      <c r="AJ681" s="23">
        <v>1</v>
      </c>
      <c r="AK681" s="23">
        <v>0</v>
      </c>
      <c r="AL681" s="4"/>
    </row>
    <row r="682" spans="1:38" ht="32.25" customHeight="1" x14ac:dyDescent="0.3">
      <c r="A682" s="80">
        <v>675</v>
      </c>
      <c r="B682" s="320" t="s">
        <v>196</v>
      </c>
      <c r="C682" s="4" t="s">
        <v>1427</v>
      </c>
      <c r="D682" s="321" t="s">
        <v>340</v>
      </c>
      <c r="E682" s="122">
        <v>106</v>
      </c>
      <c r="F682" s="122">
        <v>2</v>
      </c>
      <c r="G682" s="122"/>
      <c r="H682" s="84" t="s">
        <v>1518</v>
      </c>
      <c r="I682" s="4" t="s">
        <v>341</v>
      </c>
      <c r="J682" s="4"/>
      <c r="K682" s="4" t="s">
        <v>801</v>
      </c>
      <c r="L682" s="310" t="s">
        <v>1432</v>
      </c>
      <c r="M682" s="132">
        <v>1979</v>
      </c>
      <c r="N682" s="132" t="s">
        <v>216</v>
      </c>
      <c r="O682" s="4">
        <v>9</v>
      </c>
      <c r="P682" s="4"/>
      <c r="Q682" s="23">
        <v>2</v>
      </c>
      <c r="R682" s="23">
        <v>72</v>
      </c>
      <c r="S682" s="23">
        <v>3972.6</v>
      </c>
      <c r="T682" s="23">
        <v>3613.1</v>
      </c>
      <c r="U682" s="23">
        <v>3613.1</v>
      </c>
      <c r="V682" s="4"/>
      <c r="W682" s="311" t="s">
        <v>218</v>
      </c>
      <c r="X682" s="312" t="s">
        <v>218</v>
      </c>
      <c r="Y682" s="122" t="s">
        <v>218</v>
      </c>
      <c r="Z682" s="312" t="s">
        <v>218</v>
      </c>
      <c r="AA682" s="122" t="s">
        <v>218</v>
      </c>
      <c r="AB682" s="313" t="str">
        <f t="shared" si="15"/>
        <v>да</v>
      </c>
      <c r="AC682" s="4" t="s">
        <v>219</v>
      </c>
      <c r="AD682" s="53" t="s">
        <v>218</v>
      </c>
      <c r="AE682" s="53" t="s">
        <v>219</v>
      </c>
      <c r="AF682" s="23">
        <v>2</v>
      </c>
      <c r="AG682" s="23">
        <v>2</v>
      </c>
      <c r="AH682" s="23">
        <v>1</v>
      </c>
      <c r="AI682" s="23">
        <v>1</v>
      </c>
      <c r="AJ682" s="23">
        <v>1</v>
      </c>
      <c r="AK682" s="23">
        <v>0</v>
      </c>
      <c r="AL682" s="4"/>
    </row>
    <row r="683" spans="1:38" ht="32.25" customHeight="1" x14ac:dyDescent="0.3">
      <c r="A683" s="5">
        <v>676</v>
      </c>
      <c r="B683" s="320" t="s">
        <v>196</v>
      </c>
      <c r="C683" s="4" t="s">
        <v>1427</v>
      </c>
      <c r="D683" s="321" t="s">
        <v>340</v>
      </c>
      <c r="E683" s="122" t="s">
        <v>1433</v>
      </c>
      <c r="F683" s="122"/>
      <c r="G683" s="122"/>
      <c r="H683" s="84" t="s">
        <v>1519</v>
      </c>
      <c r="I683" s="4" t="s">
        <v>341</v>
      </c>
      <c r="J683" s="4"/>
      <c r="K683" s="4" t="s">
        <v>801</v>
      </c>
      <c r="L683" s="310" t="s">
        <v>1432</v>
      </c>
      <c r="M683" s="132">
        <v>1979</v>
      </c>
      <c r="N683" s="132" t="s">
        <v>216</v>
      </c>
      <c r="O683" s="4">
        <v>9</v>
      </c>
      <c r="P683" s="4"/>
      <c r="Q683" s="23">
        <v>6</v>
      </c>
      <c r="R683" s="23">
        <v>233</v>
      </c>
      <c r="S683" s="23">
        <v>14010.7</v>
      </c>
      <c r="T683" s="23">
        <v>12862.7</v>
      </c>
      <c r="U683" s="23">
        <v>12862.7</v>
      </c>
      <c r="V683" s="4"/>
      <c r="W683" s="311" t="s">
        <v>218</v>
      </c>
      <c r="X683" s="312" t="s">
        <v>218</v>
      </c>
      <c r="Y683" s="122" t="s">
        <v>218</v>
      </c>
      <c r="Z683" s="312" t="s">
        <v>218</v>
      </c>
      <c r="AA683" s="122" t="s">
        <v>218</v>
      </c>
      <c r="AB683" s="313" t="str">
        <f t="shared" si="15"/>
        <v>да</v>
      </c>
      <c r="AC683" s="4" t="s">
        <v>219</v>
      </c>
      <c r="AD683" s="53" t="s">
        <v>218</v>
      </c>
      <c r="AE683" s="53" t="s">
        <v>219</v>
      </c>
      <c r="AF683" s="23">
        <v>6</v>
      </c>
      <c r="AG683" s="23">
        <v>2</v>
      </c>
      <c r="AH683" s="23">
        <v>1</v>
      </c>
      <c r="AI683" s="23">
        <v>2</v>
      </c>
      <c r="AJ683" s="23">
        <v>2</v>
      </c>
      <c r="AK683" s="23">
        <v>0</v>
      </c>
      <c r="AL683" s="4"/>
    </row>
    <row r="684" spans="1:38" ht="32.25" customHeight="1" x14ac:dyDescent="0.3">
      <c r="A684" s="80">
        <v>677</v>
      </c>
      <c r="B684" s="320" t="s">
        <v>196</v>
      </c>
      <c r="C684" s="4" t="s">
        <v>1427</v>
      </c>
      <c r="D684" s="321" t="s">
        <v>1429</v>
      </c>
      <c r="E684" s="122" t="s">
        <v>1434</v>
      </c>
      <c r="F684" s="122"/>
      <c r="G684" s="122"/>
      <c r="H684" s="84" t="s">
        <v>1520</v>
      </c>
      <c r="I684" s="4" t="s">
        <v>341</v>
      </c>
      <c r="J684" s="4"/>
      <c r="K684" s="4" t="s">
        <v>801</v>
      </c>
      <c r="L684" s="310" t="s">
        <v>1435</v>
      </c>
      <c r="M684" s="132">
        <v>1978</v>
      </c>
      <c r="N684" s="132" t="s">
        <v>216</v>
      </c>
      <c r="O684" s="4">
        <v>9</v>
      </c>
      <c r="P684" s="4"/>
      <c r="Q684" s="23">
        <v>17</v>
      </c>
      <c r="R684" s="23">
        <v>645</v>
      </c>
      <c r="S684" s="23">
        <v>37570.839999999997</v>
      </c>
      <c r="T684" s="23">
        <v>34643.040000000001</v>
      </c>
      <c r="U684" s="23">
        <v>34536.54</v>
      </c>
      <c r="V684" s="4">
        <v>106.5</v>
      </c>
      <c r="W684" s="311" t="s">
        <v>218</v>
      </c>
      <c r="X684" s="312" t="s">
        <v>218</v>
      </c>
      <c r="Y684" s="122" t="s">
        <v>218</v>
      </c>
      <c r="Z684" s="312" t="s">
        <v>218</v>
      </c>
      <c r="AA684" s="122" t="s">
        <v>218</v>
      </c>
      <c r="AB684" s="313" t="str">
        <f t="shared" si="15"/>
        <v>да</v>
      </c>
      <c r="AC684" s="4" t="s">
        <v>219</v>
      </c>
      <c r="AD684" s="53" t="s">
        <v>218</v>
      </c>
      <c r="AE684" s="53" t="s">
        <v>219</v>
      </c>
      <c r="AF684" s="23">
        <v>17</v>
      </c>
      <c r="AG684" s="23">
        <v>4</v>
      </c>
      <c r="AH684" s="23">
        <v>3</v>
      </c>
      <c r="AI684" s="23">
        <v>4</v>
      </c>
      <c r="AJ684" s="23">
        <v>4</v>
      </c>
      <c r="AK684" s="23">
        <v>0</v>
      </c>
      <c r="AL684" s="4"/>
    </row>
    <row r="685" spans="1:38" ht="32.25" customHeight="1" x14ac:dyDescent="0.3">
      <c r="A685" s="5">
        <v>678</v>
      </c>
      <c r="B685" s="320" t="s">
        <v>196</v>
      </c>
      <c r="C685" s="4" t="s">
        <v>1407</v>
      </c>
      <c r="D685" s="321" t="s">
        <v>306</v>
      </c>
      <c r="E685" s="122">
        <v>53</v>
      </c>
      <c r="F685" s="122"/>
      <c r="G685" s="122"/>
      <c r="H685" s="84" t="s">
        <v>1521</v>
      </c>
      <c r="I685" s="4" t="s">
        <v>341</v>
      </c>
      <c r="J685" s="4"/>
      <c r="K685" s="4" t="s">
        <v>801</v>
      </c>
      <c r="L685" s="310" t="s">
        <v>1436</v>
      </c>
      <c r="M685" s="132">
        <v>1969</v>
      </c>
      <c r="N685" s="132" t="s">
        <v>1413</v>
      </c>
      <c r="O685" s="4">
        <v>9</v>
      </c>
      <c r="P685" s="4"/>
      <c r="Q685" s="23">
        <v>1</v>
      </c>
      <c r="R685" s="23">
        <v>45</v>
      </c>
      <c r="S685" s="23">
        <v>2361.14</v>
      </c>
      <c r="T685" s="23">
        <v>2002.54</v>
      </c>
      <c r="U685" s="23">
        <v>2002.54</v>
      </c>
      <c r="V685" s="4"/>
      <c r="W685" s="311" t="s">
        <v>218</v>
      </c>
      <c r="X685" s="312" t="s">
        <v>218</v>
      </c>
      <c r="Y685" s="122" t="s">
        <v>218</v>
      </c>
      <c r="Z685" s="312" t="s">
        <v>218</v>
      </c>
      <c r="AA685" s="122" t="s">
        <v>218</v>
      </c>
      <c r="AB685" s="313" t="str">
        <f t="shared" si="15"/>
        <v>да</v>
      </c>
      <c r="AC685" s="4" t="s">
        <v>219</v>
      </c>
      <c r="AD685" s="53" t="s">
        <v>218</v>
      </c>
      <c r="AE685" s="53" t="s">
        <v>219</v>
      </c>
      <c r="AF685" s="23">
        <v>1</v>
      </c>
      <c r="AG685" s="23">
        <v>2</v>
      </c>
      <c r="AH685" s="23">
        <v>1</v>
      </c>
      <c r="AI685" s="23">
        <v>1</v>
      </c>
      <c r="AJ685" s="23">
        <v>1</v>
      </c>
      <c r="AK685" s="23">
        <v>0</v>
      </c>
      <c r="AL685" s="4"/>
    </row>
    <row r="686" spans="1:38" ht="32.25" customHeight="1" x14ac:dyDescent="0.3">
      <c r="A686" s="80">
        <v>679</v>
      </c>
      <c r="B686" s="320" t="s">
        <v>196</v>
      </c>
      <c r="C686" s="4" t="s">
        <v>1407</v>
      </c>
      <c r="D686" s="321" t="s">
        <v>1437</v>
      </c>
      <c r="E686" s="122">
        <v>57</v>
      </c>
      <c r="F686" s="122"/>
      <c r="G686" s="122"/>
      <c r="H686" s="84" t="s">
        <v>1522</v>
      </c>
      <c r="I686" s="4" t="s">
        <v>341</v>
      </c>
      <c r="J686" s="4"/>
      <c r="K686" s="4" t="s">
        <v>801</v>
      </c>
      <c r="L686" s="310" t="s">
        <v>1436</v>
      </c>
      <c r="M686" s="132">
        <v>1969</v>
      </c>
      <c r="N686" s="132" t="s">
        <v>1413</v>
      </c>
      <c r="O686" s="4">
        <v>9</v>
      </c>
      <c r="P686" s="4"/>
      <c r="Q686" s="23">
        <v>1</v>
      </c>
      <c r="R686" s="23">
        <v>45</v>
      </c>
      <c r="S686" s="23">
        <v>2311.7600000000002</v>
      </c>
      <c r="T686" s="23">
        <v>1963.06</v>
      </c>
      <c r="U686" s="23">
        <v>1963.06</v>
      </c>
      <c r="V686" s="4"/>
      <c r="W686" s="311" t="s">
        <v>218</v>
      </c>
      <c r="X686" s="312" t="s">
        <v>218</v>
      </c>
      <c r="Y686" s="122" t="s">
        <v>218</v>
      </c>
      <c r="Z686" s="312" t="s">
        <v>218</v>
      </c>
      <c r="AA686" s="122" t="s">
        <v>218</v>
      </c>
      <c r="AB686" s="313" t="str">
        <f t="shared" si="15"/>
        <v>да</v>
      </c>
      <c r="AC686" s="4" t="s">
        <v>219</v>
      </c>
      <c r="AD686" s="53" t="s">
        <v>218</v>
      </c>
      <c r="AE686" s="53" t="s">
        <v>219</v>
      </c>
      <c r="AF686" s="23">
        <v>1</v>
      </c>
      <c r="AG686" s="23">
        <v>2</v>
      </c>
      <c r="AH686" s="23">
        <v>1</v>
      </c>
      <c r="AI686" s="23">
        <v>1</v>
      </c>
      <c r="AJ686" s="23">
        <v>1</v>
      </c>
      <c r="AK686" s="23">
        <v>0</v>
      </c>
      <c r="AL686" s="4"/>
    </row>
    <row r="687" spans="1:38" ht="32.25" customHeight="1" x14ac:dyDescent="0.3">
      <c r="A687" s="5">
        <v>680</v>
      </c>
      <c r="B687" s="320" t="s">
        <v>196</v>
      </c>
      <c r="C687" s="4" t="s">
        <v>1407</v>
      </c>
      <c r="D687" s="321" t="s">
        <v>1437</v>
      </c>
      <c r="E687" s="122">
        <v>67</v>
      </c>
      <c r="F687" s="122">
        <v>5</v>
      </c>
      <c r="G687" s="122"/>
      <c r="H687" s="84" t="s">
        <v>1523</v>
      </c>
      <c r="I687" s="4" t="s">
        <v>341</v>
      </c>
      <c r="J687" s="4"/>
      <c r="K687" s="4" t="s">
        <v>801</v>
      </c>
      <c r="L687" s="310" t="s">
        <v>1438</v>
      </c>
      <c r="M687" s="132">
        <v>1972</v>
      </c>
      <c r="N687" s="132" t="s">
        <v>216</v>
      </c>
      <c r="O687" s="4">
        <v>9</v>
      </c>
      <c r="P687" s="4"/>
      <c r="Q687" s="23">
        <v>1</v>
      </c>
      <c r="R687" s="23">
        <v>90</v>
      </c>
      <c r="S687" s="23">
        <v>4838.29</v>
      </c>
      <c r="T687" s="23">
        <v>4330.8900000000003</v>
      </c>
      <c r="U687" s="23">
        <v>4330.8900000000003</v>
      </c>
      <c r="V687" s="4"/>
      <c r="W687" s="311" t="s">
        <v>218</v>
      </c>
      <c r="X687" s="312" t="s">
        <v>218</v>
      </c>
      <c r="Y687" s="122" t="s">
        <v>218</v>
      </c>
      <c r="Z687" s="312" t="s">
        <v>218</v>
      </c>
      <c r="AA687" s="122" t="s">
        <v>218</v>
      </c>
      <c r="AB687" s="313" t="str">
        <f t="shared" si="15"/>
        <v>да</v>
      </c>
      <c r="AC687" s="4" t="s">
        <v>219</v>
      </c>
      <c r="AD687" s="53" t="s">
        <v>218</v>
      </c>
      <c r="AE687" s="53" t="s">
        <v>219</v>
      </c>
      <c r="AF687" s="23">
        <v>0</v>
      </c>
      <c r="AG687" s="23">
        <v>1</v>
      </c>
      <c r="AH687" s="23">
        <v>1</v>
      </c>
      <c r="AI687" s="23">
        <v>1</v>
      </c>
      <c r="AJ687" s="23">
        <v>1</v>
      </c>
      <c r="AK687" s="23">
        <v>0</v>
      </c>
      <c r="AL687" s="4"/>
    </row>
    <row r="688" spans="1:38" ht="32.25" customHeight="1" x14ac:dyDescent="0.3">
      <c r="A688" s="80">
        <v>681</v>
      </c>
      <c r="B688" s="320" t="s">
        <v>196</v>
      </c>
      <c r="C688" s="4" t="s">
        <v>1407</v>
      </c>
      <c r="D688" s="321" t="s">
        <v>272</v>
      </c>
      <c r="E688" s="122">
        <v>3</v>
      </c>
      <c r="F688" s="122">
        <v>2</v>
      </c>
      <c r="G688" s="122"/>
      <c r="H688" s="84" t="s">
        <v>1524</v>
      </c>
      <c r="I688" s="4" t="s">
        <v>341</v>
      </c>
      <c r="J688" s="4"/>
      <c r="K688" s="4" t="s">
        <v>801</v>
      </c>
      <c r="L688" s="310" t="s">
        <v>1430</v>
      </c>
      <c r="M688" s="132">
        <v>1973</v>
      </c>
      <c r="N688" s="132" t="s">
        <v>216</v>
      </c>
      <c r="O688" s="4">
        <v>9</v>
      </c>
      <c r="P688" s="4"/>
      <c r="Q688" s="23">
        <v>2</v>
      </c>
      <c r="R688" s="23">
        <v>3</v>
      </c>
      <c r="S688" s="23">
        <v>7035.87</v>
      </c>
      <c r="T688" s="23">
        <v>6499.27</v>
      </c>
      <c r="U688" s="23">
        <v>5920.87</v>
      </c>
      <c r="V688" s="4">
        <v>578.4</v>
      </c>
      <c r="W688" s="311" t="s">
        <v>218</v>
      </c>
      <c r="X688" s="312" t="s">
        <v>218</v>
      </c>
      <c r="Y688" s="122" t="s">
        <v>218</v>
      </c>
      <c r="Z688" s="312" t="s">
        <v>218</v>
      </c>
      <c r="AA688" s="122" t="s">
        <v>218</v>
      </c>
      <c r="AB688" s="313" t="str">
        <f t="shared" si="15"/>
        <v>да</v>
      </c>
      <c r="AC688" s="4" t="s">
        <v>219</v>
      </c>
      <c r="AD688" s="53" t="s">
        <v>218</v>
      </c>
      <c r="AE688" s="53" t="s">
        <v>219</v>
      </c>
      <c r="AF688" s="23">
        <v>2</v>
      </c>
      <c r="AG688" s="23"/>
      <c r="AH688" s="23">
        <v>3</v>
      </c>
      <c r="AI688" s="23">
        <v>1</v>
      </c>
      <c r="AJ688" s="23">
        <v>1</v>
      </c>
      <c r="AK688" s="23">
        <v>0</v>
      </c>
      <c r="AL688" s="4"/>
    </row>
    <row r="689" spans="1:38" ht="32.25" customHeight="1" x14ac:dyDescent="0.3">
      <c r="A689" s="5">
        <v>682</v>
      </c>
      <c r="B689" s="320" t="s">
        <v>196</v>
      </c>
      <c r="C689" s="4" t="s">
        <v>1407</v>
      </c>
      <c r="D689" s="321" t="s">
        <v>1439</v>
      </c>
      <c r="E689" s="122">
        <v>7</v>
      </c>
      <c r="F689" s="122">
        <v>1</v>
      </c>
      <c r="G689" s="122"/>
      <c r="H689" s="84" t="s">
        <v>1525</v>
      </c>
      <c r="I689" s="4" t="s">
        <v>341</v>
      </c>
      <c r="J689" s="4"/>
      <c r="K689" s="4" t="s">
        <v>801</v>
      </c>
      <c r="L689" s="310" t="s">
        <v>1436</v>
      </c>
      <c r="M689" s="132">
        <v>1973</v>
      </c>
      <c r="N689" s="132" t="s">
        <v>216</v>
      </c>
      <c r="O689" s="4">
        <v>9</v>
      </c>
      <c r="P689" s="4"/>
      <c r="Q689" s="23">
        <v>8</v>
      </c>
      <c r="R689" s="23">
        <v>288</v>
      </c>
      <c r="S689" s="23">
        <v>16850.61</v>
      </c>
      <c r="T689" s="23">
        <v>15488.21</v>
      </c>
      <c r="U689" s="23">
        <v>15473.51</v>
      </c>
      <c r="V689" s="4">
        <v>14.7</v>
      </c>
      <c r="W689" s="311" t="s">
        <v>218</v>
      </c>
      <c r="X689" s="312" t="s">
        <v>218</v>
      </c>
      <c r="Y689" s="122" t="s">
        <v>218</v>
      </c>
      <c r="Z689" s="312" t="s">
        <v>218</v>
      </c>
      <c r="AA689" s="122" t="s">
        <v>218</v>
      </c>
      <c r="AB689" s="313" t="str">
        <f t="shared" si="15"/>
        <v>да</v>
      </c>
      <c r="AC689" s="4" t="s">
        <v>219</v>
      </c>
      <c r="AD689" s="53" t="s">
        <v>218</v>
      </c>
      <c r="AE689" s="53" t="s">
        <v>219</v>
      </c>
      <c r="AF689" s="23">
        <v>8</v>
      </c>
      <c r="AG689" s="23"/>
      <c r="AH689" s="23">
        <v>2</v>
      </c>
      <c r="AI689" s="23">
        <v>2</v>
      </c>
      <c r="AJ689" s="23">
        <v>2</v>
      </c>
      <c r="AK689" s="23">
        <v>0</v>
      </c>
      <c r="AL689" s="4"/>
    </row>
    <row r="690" spans="1:38" ht="32.25" customHeight="1" x14ac:dyDescent="0.3">
      <c r="A690" s="80">
        <v>683</v>
      </c>
      <c r="B690" s="320" t="s">
        <v>196</v>
      </c>
      <c r="C690" s="4" t="s">
        <v>1407</v>
      </c>
      <c r="D690" s="321" t="s">
        <v>1439</v>
      </c>
      <c r="E690" s="122">
        <v>7</v>
      </c>
      <c r="F690" s="122">
        <v>2</v>
      </c>
      <c r="G690" s="122"/>
      <c r="H690" s="84" t="s">
        <v>1526</v>
      </c>
      <c r="I690" s="4" t="s">
        <v>341</v>
      </c>
      <c r="J690" s="4"/>
      <c r="K690" s="4" t="s">
        <v>801</v>
      </c>
      <c r="L690" s="310" t="s">
        <v>1440</v>
      </c>
      <c r="M690" s="132">
        <v>1973</v>
      </c>
      <c r="N690" s="132" t="s">
        <v>216</v>
      </c>
      <c r="O690" s="4">
        <v>9</v>
      </c>
      <c r="P690" s="4"/>
      <c r="Q690" s="23">
        <v>7</v>
      </c>
      <c r="R690" s="23">
        <v>251</v>
      </c>
      <c r="S690" s="23">
        <v>15051.5</v>
      </c>
      <c r="T690" s="23">
        <v>13511.9</v>
      </c>
      <c r="U690" s="23">
        <v>13498.5</v>
      </c>
      <c r="V690" s="4">
        <v>13.4</v>
      </c>
      <c r="W690" s="311" t="s">
        <v>218</v>
      </c>
      <c r="X690" s="312" t="s">
        <v>218</v>
      </c>
      <c r="Y690" s="122" t="s">
        <v>218</v>
      </c>
      <c r="Z690" s="312" t="s">
        <v>218</v>
      </c>
      <c r="AA690" s="122" t="s">
        <v>218</v>
      </c>
      <c r="AB690" s="313" t="str">
        <f t="shared" si="15"/>
        <v>да</v>
      </c>
      <c r="AC690" s="4" t="s">
        <v>219</v>
      </c>
      <c r="AD690" s="53" t="s">
        <v>218</v>
      </c>
      <c r="AE690" s="53" t="s">
        <v>219</v>
      </c>
      <c r="AF690" s="23">
        <v>7</v>
      </c>
      <c r="AG690" s="23"/>
      <c r="AH690" s="23">
        <v>2</v>
      </c>
      <c r="AI690" s="23">
        <v>1</v>
      </c>
      <c r="AJ690" s="23">
        <v>1</v>
      </c>
      <c r="AK690" s="23">
        <v>0</v>
      </c>
      <c r="AL690" s="4"/>
    </row>
    <row r="691" spans="1:38" ht="32.25" customHeight="1" x14ac:dyDescent="0.3">
      <c r="A691" s="5">
        <v>684</v>
      </c>
      <c r="B691" s="320" t="s">
        <v>196</v>
      </c>
      <c r="C691" s="4" t="s">
        <v>1407</v>
      </c>
      <c r="D691" s="321" t="s">
        <v>1439</v>
      </c>
      <c r="E691" s="323" t="s">
        <v>1441</v>
      </c>
      <c r="F691" s="122"/>
      <c r="G691" s="122"/>
      <c r="H691" s="84" t="s">
        <v>1527</v>
      </c>
      <c r="I691" s="4" t="s">
        <v>341</v>
      </c>
      <c r="J691" s="4"/>
      <c r="K691" s="4" t="s">
        <v>801</v>
      </c>
      <c r="L691" s="310" t="s">
        <v>1436</v>
      </c>
      <c r="M691" s="132">
        <v>1973</v>
      </c>
      <c r="N691" s="132" t="s">
        <v>216</v>
      </c>
      <c r="O691" s="4">
        <v>9</v>
      </c>
      <c r="P691" s="4"/>
      <c r="Q691" s="23">
        <v>8</v>
      </c>
      <c r="R691" s="23">
        <v>287</v>
      </c>
      <c r="S691" s="23">
        <v>16899.7</v>
      </c>
      <c r="T691" s="23">
        <v>15516.3</v>
      </c>
      <c r="U691" s="23">
        <v>15486.2</v>
      </c>
      <c r="V691" s="4">
        <v>30.1</v>
      </c>
      <c r="W691" s="311" t="s">
        <v>218</v>
      </c>
      <c r="X691" s="312" t="s">
        <v>218</v>
      </c>
      <c r="Y691" s="122" t="s">
        <v>218</v>
      </c>
      <c r="Z691" s="312" t="s">
        <v>218</v>
      </c>
      <c r="AA691" s="122" t="s">
        <v>218</v>
      </c>
      <c r="AB691" s="313" t="str">
        <f t="shared" si="15"/>
        <v>да</v>
      </c>
      <c r="AC691" s="4" t="s">
        <v>219</v>
      </c>
      <c r="AD691" s="53" t="s">
        <v>218</v>
      </c>
      <c r="AE691" s="53" t="s">
        <v>219</v>
      </c>
      <c r="AF691" s="23">
        <v>8</v>
      </c>
      <c r="AG691" s="23">
        <v>4</v>
      </c>
      <c r="AH691" s="23">
        <v>2</v>
      </c>
      <c r="AI691" s="23">
        <v>2</v>
      </c>
      <c r="AJ691" s="23">
        <v>2</v>
      </c>
      <c r="AK691" s="23">
        <v>0</v>
      </c>
      <c r="AL691" s="4"/>
    </row>
    <row r="692" spans="1:38" ht="32.25" customHeight="1" x14ac:dyDescent="0.3">
      <c r="A692" s="80">
        <v>685</v>
      </c>
      <c r="B692" s="320" t="s">
        <v>196</v>
      </c>
      <c r="C692" s="4" t="s">
        <v>1407</v>
      </c>
      <c r="D692" s="321" t="s">
        <v>1442</v>
      </c>
      <c r="E692" s="122" t="s">
        <v>1443</v>
      </c>
      <c r="F692" s="122"/>
      <c r="G692" s="122"/>
      <c r="H692" s="84" t="s">
        <v>1528</v>
      </c>
      <c r="I692" s="4" t="s">
        <v>341</v>
      </c>
      <c r="J692" s="4"/>
      <c r="K692" s="4" t="s">
        <v>801</v>
      </c>
      <c r="L692" s="310" t="s">
        <v>387</v>
      </c>
      <c r="M692" s="132">
        <v>1973</v>
      </c>
      <c r="N692" s="132" t="s">
        <v>216</v>
      </c>
      <c r="O692" s="4">
        <v>9</v>
      </c>
      <c r="P692" s="4"/>
      <c r="Q692" s="23">
        <v>8</v>
      </c>
      <c r="R692" s="23">
        <v>288</v>
      </c>
      <c r="S692" s="23" t="s">
        <v>1444</v>
      </c>
      <c r="T692" s="23">
        <v>15348.4</v>
      </c>
      <c r="U692" s="23">
        <v>15348.4</v>
      </c>
      <c r="V692" s="4"/>
      <c r="W692" s="311" t="s">
        <v>218</v>
      </c>
      <c r="X692" s="312" t="s">
        <v>218</v>
      </c>
      <c r="Y692" s="122" t="s">
        <v>218</v>
      </c>
      <c r="Z692" s="312" t="s">
        <v>218</v>
      </c>
      <c r="AA692" s="122" t="s">
        <v>218</v>
      </c>
      <c r="AB692" s="313" t="str">
        <f t="shared" si="15"/>
        <v>да</v>
      </c>
      <c r="AC692" s="4" t="s">
        <v>219</v>
      </c>
      <c r="AD692" s="53" t="s">
        <v>218</v>
      </c>
      <c r="AE692" s="53" t="s">
        <v>219</v>
      </c>
      <c r="AF692" s="23">
        <v>8</v>
      </c>
      <c r="AG692" s="23">
        <v>4</v>
      </c>
      <c r="AH692" s="23">
        <v>2</v>
      </c>
      <c r="AI692" s="23">
        <v>2</v>
      </c>
      <c r="AJ692" s="23">
        <v>2</v>
      </c>
      <c r="AK692" s="23">
        <v>0</v>
      </c>
      <c r="AL692" s="4"/>
    </row>
    <row r="693" spans="1:38" ht="32.25" customHeight="1" x14ac:dyDescent="0.3">
      <c r="A693" s="5">
        <v>686</v>
      </c>
      <c r="B693" s="320" t="s">
        <v>196</v>
      </c>
      <c r="C693" s="4" t="s">
        <v>1407</v>
      </c>
      <c r="D693" s="321" t="s">
        <v>1439</v>
      </c>
      <c r="E693" s="122">
        <v>15</v>
      </c>
      <c r="F693" s="122">
        <v>1</v>
      </c>
      <c r="G693" s="122"/>
      <c r="H693" s="84" t="s">
        <v>1529</v>
      </c>
      <c r="I693" s="4" t="s">
        <v>341</v>
      </c>
      <c r="J693" s="4"/>
      <c r="K693" s="4" t="s">
        <v>801</v>
      </c>
      <c r="L693" s="310" t="s">
        <v>1445</v>
      </c>
      <c r="M693" s="132">
        <v>1982</v>
      </c>
      <c r="N693" s="132" t="s">
        <v>216</v>
      </c>
      <c r="O693" s="4">
        <v>12</v>
      </c>
      <c r="P693" s="4"/>
      <c r="Q693" s="23">
        <v>2</v>
      </c>
      <c r="R693" s="23">
        <v>140</v>
      </c>
      <c r="S693" s="23">
        <v>10246</v>
      </c>
      <c r="T693" s="23">
        <v>8137.9</v>
      </c>
      <c r="U693" s="23">
        <v>7348.7</v>
      </c>
      <c r="V693" s="4">
        <v>789.2</v>
      </c>
      <c r="W693" s="311" t="s">
        <v>218</v>
      </c>
      <c r="X693" s="312" t="s">
        <v>218</v>
      </c>
      <c r="Y693" s="122" t="s">
        <v>218</v>
      </c>
      <c r="Z693" s="312" t="s">
        <v>218</v>
      </c>
      <c r="AA693" s="122" t="s">
        <v>218</v>
      </c>
      <c r="AB693" s="313" t="str">
        <f t="shared" si="15"/>
        <v>нет</v>
      </c>
      <c r="AC693" s="4" t="s">
        <v>219</v>
      </c>
      <c r="AD693" s="53" t="s">
        <v>219</v>
      </c>
      <c r="AE693" s="53" t="s">
        <v>218</v>
      </c>
      <c r="AF693" s="23">
        <v>4</v>
      </c>
      <c r="AG693" s="23">
        <v>2</v>
      </c>
      <c r="AH693" s="23">
        <v>4</v>
      </c>
      <c r="AI693" s="23">
        <v>1</v>
      </c>
      <c r="AJ693" s="23">
        <v>1</v>
      </c>
      <c r="AK693" s="23">
        <v>0</v>
      </c>
      <c r="AL693" s="4"/>
    </row>
    <row r="694" spans="1:38" ht="32.25" customHeight="1" x14ac:dyDescent="0.3">
      <c r="A694" s="80">
        <v>687</v>
      </c>
      <c r="B694" s="320" t="s">
        <v>196</v>
      </c>
      <c r="C694" s="4" t="s">
        <v>1407</v>
      </c>
      <c r="D694" s="321" t="s">
        <v>272</v>
      </c>
      <c r="E694" s="122">
        <v>17</v>
      </c>
      <c r="F694" s="122">
        <v>1</v>
      </c>
      <c r="G694" s="122"/>
      <c r="H694" s="84" t="s">
        <v>1530</v>
      </c>
      <c r="I694" s="4" t="s">
        <v>341</v>
      </c>
      <c r="J694" s="4"/>
      <c r="K694" s="4" t="s">
        <v>801</v>
      </c>
      <c r="L694" s="310" t="s">
        <v>1446</v>
      </c>
      <c r="M694" s="132">
        <v>1973</v>
      </c>
      <c r="N694" s="132" t="s">
        <v>216</v>
      </c>
      <c r="O694" s="4">
        <v>9</v>
      </c>
      <c r="P694" s="4"/>
      <c r="Q694" s="23">
        <v>6</v>
      </c>
      <c r="R694" s="23">
        <v>216</v>
      </c>
      <c r="S694" s="23">
        <v>12417.8</v>
      </c>
      <c r="T694" s="23">
        <v>11486.7</v>
      </c>
      <c r="U694" s="23">
        <v>11486.7</v>
      </c>
      <c r="V694" s="4"/>
      <c r="W694" s="311" t="s">
        <v>218</v>
      </c>
      <c r="X694" s="312" t="s">
        <v>218</v>
      </c>
      <c r="Y694" s="122" t="s">
        <v>218</v>
      </c>
      <c r="Z694" s="312" t="s">
        <v>218</v>
      </c>
      <c r="AA694" s="122" t="s">
        <v>218</v>
      </c>
      <c r="AB694" s="313" t="str">
        <f t="shared" si="15"/>
        <v>да</v>
      </c>
      <c r="AC694" s="4" t="s">
        <v>219</v>
      </c>
      <c r="AD694" s="53" t="s">
        <v>218</v>
      </c>
      <c r="AE694" s="53" t="s">
        <v>219</v>
      </c>
      <c r="AF694" s="23">
        <v>6</v>
      </c>
      <c r="AG694" s="23">
        <v>2</v>
      </c>
      <c r="AH694" s="23">
        <v>1</v>
      </c>
      <c r="AI694" s="23">
        <v>1</v>
      </c>
      <c r="AJ694" s="23">
        <v>1</v>
      </c>
      <c r="AK694" s="23">
        <v>0</v>
      </c>
      <c r="AL694" s="4"/>
    </row>
    <row r="695" spans="1:38" ht="32.25" customHeight="1" x14ac:dyDescent="0.3">
      <c r="A695" s="5">
        <v>688</v>
      </c>
      <c r="B695" s="320" t="s">
        <v>196</v>
      </c>
      <c r="C695" s="4" t="s">
        <v>1407</v>
      </c>
      <c r="D695" s="321" t="s">
        <v>1447</v>
      </c>
      <c r="E695" s="122">
        <v>18</v>
      </c>
      <c r="F695" s="122">
        <v>2</v>
      </c>
      <c r="G695" s="122"/>
      <c r="H695" s="84" t="s">
        <v>1531</v>
      </c>
      <c r="I695" s="4" t="s">
        <v>341</v>
      </c>
      <c r="J695" s="4"/>
      <c r="K695" s="4" t="s">
        <v>801</v>
      </c>
      <c r="L695" s="310" t="s">
        <v>1448</v>
      </c>
      <c r="M695" s="132">
        <v>1972</v>
      </c>
      <c r="N695" s="132" t="s">
        <v>216</v>
      </c>
      <c r="O695" s="4">
        <v>9</v>
      </c>
      <c r="P695" s="4"/>
      <c r="Q695" s="23">
        <v>4</v>
      </c>
      <c r="R695" s="23">
        <v>208</v>
      </c>
      <c r="S695" s="23">
        <v>11059.2</v>
      </c>
      <c r="T695" s="23">
        <v>9733.7999999999993</v>
      </c>
      <c r="U695" s="23">
        <v>9733.7999999999993</v>
      </c>
      <c r="V695" s="4"/>
      <c r="W695" s="311" t="s">
        <v>218</v>
      </c>
      <c r="X695" s="312" t="s">
        <v>218</v>
      </c>
      <c r="Y695" s="122" t="s">
        <v>218</v>
      </c>
      <c r="Z695" s="312" t="s">
        <v>218</v>
      </c>
      <c r="AA695" s="122" t="s">
        <v>218</v>
      </c>
      <c r="AB695" s="313" t="str">
        <f t="shared" si="15"/>
        <v>да</v>
      </c>
      <c r="AC695" s="4" t="s">
        <v>219</v>
      </c>
      <c r="AD695" s="53" t="s">
        <v>218</v>
      </c>
      <c r="AE695" s="53" t="s">
        <v>219</v>
      </c>
      <c r="AF695" s="23">
        <v>4</v>
      </c>
      <c r="AG695" s="23">
        <v>2</v>
      </c>
      <c r="AH695" s="23">
        <v>1</v>
      </c>
      <c r="AI695" s="23">
        <v>1</v>
      </c>
      <c r="AJ695" s="23">
        <v>1</v>
      </c>
      <c r="AK695" s="23">
        <v>0</v>
      </c>
      <c r="AL695" s="4"/>
    </row>
    <row r="696" spans="1:38" ht="32.25" customHeight="1" x14ac:dyDescent="0.3">
      <c r="A696" s="80">
        <v>689</v>
      </c>
      <c r="B696" s="320" t="s">
        <v>196</v>
      </c>
      <c r="C696" s="4" t="s">
        <v>1407</v>
      </c>
      <c r="D696" s="321" t="s">
        <v>1447</v>
      </c>
      <c r="E696" s="122">
        <v>20</v>
      </c>
      <c r="F696" s="122">
        <v>1</v>
      </c>
      <c r="G696" s="122"/>
      <c r="H696" s="84" t="s">
        <v>1532</v>
      </c>
      <c r="I696" s="4" t="s">
        <v>341</v>
      </c>
      <c r="J696" s="4"/>
      <c r="K696" s="4" t="s">
        <v>801</v>
      </c>
      <c r="L696" s="310"/>
      <c r="M696" s="132">
        <v>1978</v>
      </c>
      <c r="N696" s="132" t="s">
        <v>318</v>
      </c>
      <c r="O696" s="4">
        <v>9</v>
      </c>
      <c r="P696" s="4"/>
      <c r="Q696" s="23">
        <v>7</v>
      </c>
      <c r="R696" s="23">
        <v>224</v>
      </c>
      <c r="S696" s="23">
        <v>16481.810000000001</v>
      </c>
      <c r="T696" s="23">
        <v>14301.41</v>
      </c>
      <c r="U696" s="23">
        <v>12244.01</v>
      </c>
      <c r="V696" s="4">
        <v>2057.4</v>
      </c>
      <c r="W696" s="311" t="s">
        <v>218</v>
      </c>
      <c r="X696" s="312" t="s">
        <v>218</v>
      </c>
      <c r="Y696" s="122" t="s">
        <v>218</v>
      </c>
      <c r="Z696" s="312" t="s">
        <v>218</v>
      </c>
      <c r="AA696" s="122" t="s">
        <v>218</v>
      </c>
      <c r="AB696" s="313" t="str">
        <f t="shared" si="15"/>
        <v>да</v>
      </c>
      <c r="AC696" s="4" t="s">
        <v>219</v>
      </c>
      <c r="AD696" s="53" t="s">
        <v>218</v>
      </c>
      <c r="AE696" s="53" t="s">
        <v>219</v>
      </c>
      <c r="AF696" s="23">
        <v>7</v>
      </c>
      <c r="AG696" s="23">
        <v>2</v>
      </c>
      <c r="AH696" s="23">
        <v>2</v>
      </c>
      <c r="AI696" s="23">
        <v>2</v>
      </c>
      <c r="AJ696" s="23">
        <v>2</v>
      </c>
      <c r="AK696" s="23">
        <v>0</v>
      </c>
      <c r="AL696" s="4"/>
    </row>
    <row r="697" spans="1:38" ht="32.25" customHeight="1" x14ac:dyDescent="0.3">
      <c r="A697" s="5">
        <v>690</v>
      </c>
      <c r="B697" s="320" t="s">
        <v>196</v>
      </c>
      <c r="C697" s="4" t="s">
        <v>1407</v>
      </c>
      <c r="D697" s="321" t="s">
        <v>1439</v>
      </c>
      <c r="E697" s="122">
        <v>24</v>
      </c>
      <c r="F697" s="122">
        <v>1</v>
      </c>
      <c r="G697" s="122"/>
      <c r="H697" s="84" t="s">
        <v>1533</v>
      </c>
      <c r="I697" s="4" t="s">
        <v>341</v>
      </c>
      <c r="J697" s="4"/>
      <c r="K697" s="4" t="s">
        <v>801</v>
      </c>
      <c r="L697" s="310"/>
      <c r="M697" s="132">
        <v>1973</v>
      </c>
      <c r="N697" s="132" t="s">
        <v>216</v>
      </c>
      <c r="O697" s="4">
        <v>9</v>
      </c>
      <c r="P697" s="4"/>
      <c r="Q697" s="23">
        <v>8</v>
      </c>
      <c r="R697" s="23">
        <v>288</v>
      </c>
      <c r="S697" s="23">
        <v>13112.29</v>
      </c>
      <c r="T697" s="23">
        <v>11878.79</v>
      </c>
      <c r="U697" s="23">
        <v>11878.79</v>
      </c>
      <c r="V697" s="4"/>
      <c r="W697" s="311" t="s">
        <v>218</v>
      </c>
      <c r="X697" s="312" t="s">
        <v>218</v>
      </c>
      <c r="Y697" s="122" t="s">
        <v>218</v>
      </c>
      <c r="Z697" s="312" t="s">
        <v>218</v>
      </c>
      <c r="AA697" s="122" t="s">
        <v>218</v>
      </c>
      <c r="AB697" s="313" t="str">
        <f t="shared" si="15"/>
        <v>да</v>
      </c>
      <c r="AC697" s="4" t="s">
        <v>219</v>
      </c>
      <c r="AD697" s="53" t="s">
        <v>218</v>
      </c>
      <c r="AE697" s="53" t="s">
        <v>219</v>
      </c>
      <c r="AF697" s="23">
        <v>8</v>
      </c>
      <c r="AG697" s="23">
        <v>2</v>
      </c>
      <c r="AH697" s="23">
        <v>2</v>
      </c>
      <c r="AI697" s="23">
        <v>2</v>
      </c>
      <c r="AJ697" s="23">
        <v>2</v>
      </c>
      <c r="AK697" s="23">
        <v>0</v>
      </c>
      <c r="AL697" s="4"/>
    </row>
    <row r="698" spans="1:38" ht="32.25" customHeight="1" x14ac:dyDescent="0.3">
      <c r="A698" s="80">
        <v>691</v>
      </c>
      <c r="B698" s="320" t="s">
        <v>196</v>
      </c>
      <c r="C698" s="4" t="s">
        <v>1427</v>
      </c>
      <c r="D698" s="321" t="s">
        <v>1449</v>
      </c>
      <c r="E698" s="122">
        <v>35</v>
      </c>
      <c r="F698" s="122">
        <v>1</v>
      </c>
      <c r="G698" s="122"/>
      <c r="H698" s="84" t="s">
        <v>1534</v>
      </c>
      <c r="I698" s="4" t="s">
        <v>341</v>
      </c>
      <c r="J698" s="4"/>
      <c r="K698" s="4" t="s">
        <v>801</v>
      </c>
      <c r="L698" s="310" t="s">
        <v>313</v>
      </c>
      <c r="M698" s="132">
        <v>1974</v>
      </c>
      <c r="N698" s="132" t="s">
        <v>216</v>
      </c>
      <c r="O698" s="4">
        <v>9</v>
      </c>
      <c r="P698" s="4"/>
      <c r="Q698" s="23">
        <v>7</v>
      </c>
      <c r="R698" s="23">
        <v>252</v>
      </c>
      <c r="S698" s="23">
        <v>14598.59</v>
      </c>
      <c r="T698" s="23">
        <v>13414.29</v>
      </c>
      <c r="U698" s="23">
        <v>13414.29</v>
      </c>
      <c r="V698" s="4"/>
      <c r="W698" s="311" t="s">
        <v>218</v>
      </c>
      <c r="X698" s="312" t="s">
        <v>218</v>
      </c>
      <c r="Y698" s="122" t="s">
        <v>218</v>
      </c>
      <c r="Z698" s="312" t="s">
        <v>218</v>
      </c>
      <c r="AA698" s="122" t="s">
        <v>218</v>
      </c>
      <c r="AB698" s="313" t="str">
        <f t="shared" si="15"/>
        <v>да</v>
      </c>
      <c r="AC698" s="4" t="s">
        <v>219</v>
      </c>
      <c r="AD698" s="53" t="s">
        <v>218</v>
      </c>
      <c r="AE698" s="53" t="s">
        <v>219</v>
      </c>
      <c r="AF698" s="23">
        <v>7</v>
      </c>
      <c r="AG698" s="23">
        <v>2</v>
      </c>
      <c r="AH698" s="23">
        <v>2</v>
      </c>
      <c r="AI698" s="23">
        <v>2</v>
      </c>
      <c r="AJ698" s="23">
        <v>2</v>
      </c>
      <c r="AK698" s="23">
        <v>0</v>
      </c>
      <c r="AL698" s="4"/>
    </row>
    <row r="699" spans="1:38" ht="32.25" customHeight="1" x14ac:dyDescent="0.3">
      <c r="A699" s="5">
        <v>692</v>
      </c>
      <c r="B699" s="320" t="s">
        <v>196</v>
      </c>
      <c r="C699" s="4" t="s">
        <v>1427</v>
      </c>
      <c r="D699" s="321" t="s">
        <v>1449</v>
      </c>
      <c r="E699" s="122">
        <v>35</v>
      </c>
      <c r="F699" s="122">
        <v>3</v>
      </c>
      <c r="G699" s="122"/>
      <c r="H699" s="84" t="s">
        <v>1535</v>
      </c>
      <c r="I699" s="4" t="s">
        <v>341</v>
      </c>
      <c r="J699" s="4"/>
      <c r="K699" s="4" t="s">
        <v>801</v>
      </c>
      <c r="L699" s="310" t="s">
        <v>1450</v>
      </c>
      <c r="M699" s="132">
        <v>1974</v>
      </c>
      <c r="N699" s="132" t="s">
        <v>216</v>
      </c>
      <c r="O699" s="4">
        <v>9</v>
      </c>
      <c r="P699" s="4"/>
      <c r="Q699" s="23">
        <v>4</v>
      </c>
      <c r="R699" s="23">
        <v>143</v>
      </c>
      <c r="S699" s="23">
        <v>8858.4</v>
      </c>
      <c r="T699" s="23">
        <v>7885.3</v>
      </c>
      <c r="U699" s="23">
        <v>7885.3</v>
      </c>
      <c r="V699" s="4"/>
      <c r="W699" s="311" t="s">
        <v>218</v>
      </c>
      <c r="X699" s="312" t="s">
        <v>218</v>
      </c>
      <c r="Y699" s="122" t="s">
        <v>218</v>
      </c>
      <c r="Z699" s="312" t="s">
        <v>218</v>
      </c>
      <c r="AA699" s="122" t="s">
        <v>218</v>
      </c>
      <c r="AB699" s="313" t="str">
        <f t="shared" si="15"/>
        <v>да</v>
      </c>
      <c r="AC699" s="4" t="s">
        <v>219</v>
      </c>
      <c r="AD699" s="53" t="s">
        <v>218</v>
      </c>
      <c r="AE699" s="53" t="s">
        <v>219</v>
      </c>
      <c r="AF699" s="23">
        <v>4</v>
      </c>
      <c r="AG699" s="23">
        <v>2</v>
      </c>
      <c r="AH699" s="23">
        <v>1</v>
      </c>
      <c r="AI699" s="23">
        <v>1</v>
      </c>
      <c r="AJ699" s="23">
        <v>1</v>
      </c>
      <c r="AK699" s="23">
        <v>0</v>
      </c>
      <c r="AL699" s="4"/>
    </row>
    <row r="700" spans="1:38" ht="32.25" customHeight="1" x14ac:dyDescent="0.3">
      <c r="A700" s="80">
        <v>693</v>
      </c>
      <c r="B700" s="320" t="s">
        <v>196</v>
      </c>
      <c r="C700" s="4" t="s">
        <v>1427</v>
      </c>
      <c r="D700" s="321" t="s">
        <v>1449</v>
      </c>
      <c r="E700" s="122">
        <v>43</v>
      </c>
      <c r="F700" s="122">
        <v>1</v>
      </c>
      <c r="G700" s="122"/>
      <c r="H700" s="84" t="s">
        <v>1536</v>
      </c>
      <c r="I700" s="4" t="s">
        <v>341</v>
      </c>
      <c r="J700" s="4"/>
      <c r="K700" s="4" t="s">
        <v>801</v>
      </c>
      <c r="L700" s="310" t="s">
        <v>1428</v>
      </c>
      <c r="M700" s="132">
        <v>1978</v>
      </c>
      <c r="N700" s="132" t="s">
        <v>216</v>
      </c>
      <c r="O700" s="4">
        <v>9</v>
      </c>
      <c r="P700" s="4"/>
      <c r="Q700" s="23">
        <v>13</v>
      </c>
      <c r="R700" s="23">
        <v>472</v>
      </c>
      <c r="S700" s="23">
        <v>29192.3</v>
      </c>
      <c r="T700" s="23">
        <v>26674.3</v>
      </c>
      <c r="U700" s="23">
        <v>26674.3</v>
      </c>
      <c r="V700" s="4"/>
      <c r="W700" s="311" t="s">
        <v>218</v>
      </c>
      <c r="X700" s="312" t="s">
        <v>218</v>
      </c>
      <c r="Y700" s="122" t="s">
        <v>218</v>
      </c>
      <c r="Z700" s="312" t="s">
        <v>218</v>
      </c>
      <c r="AA700" s="122" t="s">
        <v>218</v>
      </c>
      <c r="AB700" s="313" t="str">
        <f t="shared" si="15"/>
        <v>да</v>
      </c>
      <c r="AC700" s="4" t="s">
        <v>219</v>
      </c>
      <c r="AD700" s="53" t="s">
        <v>218</v>
      </c>
      <c r="AE700" s="53" t="s">
        <v>219</v>
      </c>
      <c r="AF700" s="23">
        <v>13</v>
      </c>
      <c r="AG700" s="23">
        <v>4</v>
      </c>
      <c r="AH700" s="23">
        <v>3</v>
      </c>
      <c r="AI700" s="23">
        <v>3</v>
      </c>
      <c r="AJ700" s="23">
        <v>3</v>
      </c>
      <c r="AK700" s="23">
        <v>0</v>
      </c>
      <c r="AL700" s="4"/>
    </row>
    <row r="701" spans="1:38" ht="32.25" customHeight="1" x14ac:dyDescent="0.3">
      <c r="A701" s="5">
        <v>694</v>
      </c>
      <c r="B701" s="320" t="s">
        <v>196</v>
      </c>
      <c r="C701" s="4" t="s">
        <v>1427</v>
      </c>
      <c r="D701" s="321" t="s">
        <v>1451</v>
      </c>
      <c r="E701" s="122">
        <v>1</v>
      </c>
      <c r="F701" s="122">
        <v>1</v>
      </c>
      <c r="G701" s="122"/>
      <c r="H701" s="84" t="s">
        <v>1537</v>
      </c>
      <c r="I701" s="4" t="s">
        <v>341</v>
      </c>
      <c r="J701" s="4"/>
      <c r="K701" s="4" t="s">
        <v>801</v>
      </c>
      <c r="L701" s="310" t="s">
        <v>1428</v>
      </c>
      <c r="M701" s="132">
        <v>1973</v>
      </c>
      <c r="N701" s="132" t="s">
        <v>216</v>
      </c>
      <c r="O701" s="4">
        <v>9</v>
      </c>
      <c r="P701" s="4"/>
      <c r="Q701" s="23">
        <v>2</v>
      </c>
      <c r="R701" s="23">
        <v>72</v>
      </c>
      <c r="S701" s="23">
        <v>4181.3999999999996</v>
      </c>
      <c r="T701" s="23">
        <v>3874.4</v>
      </c>
      <c r="U701" s="23">
        <v>3874.4</v>
      </c>
      <c r="V701" s="4"/>
      <c r="W701" s="311" t="s">
        <v>218</v>
      </c>
      <c r="X701" s="312" t="s">
        <v>218</v>
      </c>
      <c r="Y701" s="122" t="s">
        <v>218</v>
      </c>
      <c r="Z701" s="312" t="s">
        <v>218</v>
      </c>
      <c r="AA701" s="122" t="s">
        <v>218</v>
      </c>
      <c r="AB701" s="313" t="str">
        <f t="shared" si="15"/>
        <v>да</v>
      </c>
      <c r="AC701" s="4" t="s">
        <v>219</v>
      </c>
      <c r="AD701" s="53" t="s">
        <v>218</v>
      </c>
      <c r="AE701" s="53" t="s">
        <v>219</v>
      </c>
      <c r="AF701" s="23">
        <v>2</v>
      </c>
      <c r="AG701" s="23">
        <v>2</v>
      </c>
      <c r="AH701" s="23">
        <v>1</v>
      </c>
      <c r="AI701" s="23">
        <v>1</v>
      </c>
      <c r="AJ701" s="23">
        <v>1</v>
      </c>
      <c r="AK701" s="23">
        <v>0</v>
      </c>
      <c r="AL701" s="4"/>
    </row>
    <row r="702" spans="1:38" ht="32.25" customHeight="1" x14ac:dyDescent="0.3">
      <c r="A702" s="80">
        <v>695</v>
      </c>
      <c r="B702" s="320" t="s">
        <v>196</v>
      </c>
      <c r="C702" s="4" t="s">
        <v>1427</v>
      </c>
      <c r="D702" s="321" t="s">
        <v>1452</v>
      </c>
      <c r="E702" s="122">
        <v>5</v>
      </c>
      <c r="F702" s="122">
        <v>1</v>
      </c>
      <c r="G702" s="122"/>
      <c r="H702" s="84" t="s">
        <v>1538</v>
      </c>
      <c r="I702" s="4" t="s">
        <v>341</v>
      </c>
      <c r="J702" s="4"/>
      <c r="K702" s="4" t="s">
        <v>801</v>
      </c>
      <c r="L702" s="310" t="s">
        <v>1428</v>
      </c>
      <c r="M702" s="132">
        <v>1973</v>
      </c>
      <c r="N702" s="132" t="s">
        <v>216</v>
      </c>
      <c r="O702" s="4">
        <v>9</v>
      </c>
      <c r="P702" s="4"/>
      <c r="Q702" s="23">
        <v>5</v>
      </c>
      <c r="R702" s="23">
        <v>179</v>
      </c>
      <c r="S702" s="23">
        <v>11042.82</v>
      </c>
      <c r="T702" s="23">
        <v>9891.2199999999993</v>
      </c>
      <c r="U702" s="23">
        <v>9891.2199999999993</v>
      </c>
      <c r="V702" s="4"/>
      <c r="W702" s="311" t="s">
        <v>218</v>
      </c>
      <c r="X702" s="312" t="s">
        <v>218</v>
      </c>
      <c r="Y702" s="122" t="s">
        <v>218</v>
      </c>
      <c r="Z702" s="312" t="s">
        <v>218</v>
      </c>
      <c r="AA702" s="122" t="s">
        <v>218</v>
      </c>
      <c r="AB702" s="313" t="str">
        <f t="shared" si="15"/>
        <v>да</v>
      </c>
      <c r="AC702" s="4" t="s">
        <v>219</v>
      </c>
      <c r="AD702" s="53" t="s">
        <v>218</v>
      </c>
      <c r="AE702" s="53" t="s">
        <v>219</v>
      </c>
      <c r="AF702" s="23">
        <v>5</v>
      </c>
      <c r="AG702" s="23">
        <v>2</v>
      </c>
      <c r="AH702" s="23">
        <v>1</v>
      </c>
      <c r="AI702" s="23">
        <v>2</v>
      </c>
      <c r="AJ702" s="23">
        <v>2</v>
      </c>
      <c r="AK702" s="23">
        <v>0</v>
      </c>
      <c r="AL702" s="4"/>
    </row>
    <row r="703" spans="1:38" ht="32.25" customHeight="1" x14ac:dyDescent="0.3">
      <c r="A703" s="5">
        <v>696</v>
      </c>
      <c r="B703" s="320" t="s">
        <v>196</v>
      </c>
      <c r="C703" s="4" t="s">
        <v>1427</v>
      </c>
      <c r="D703" s="321" t="s">
        <v>1453</v>
      </c>
      <c r="E703" s="122">
        <v>5</v>
      </c>
      <c r="F703" s="122">
        <v>3</v>
      </c>
      <c r="G703" s="122"/>
      <c r="H703" s="84" t="s">
        <v>1539</v>
      </c>
      <c r="I703" s="4" t="s">
        <v>341</v>
      </c>
      <c r="J703" s="4"/>
      <c r="K703" s="4" t="s">
        <v>801</v>
      </c>
      <c r="L703" s="310" t="s">
        <v>1450</v>
      </c>
      <c r="M703" s="132">
        <v>1974</v>
      </c>
      <c r="N703" s="132" t="s">
        <v>216</v>
      </c>
      <c r="O703" s="4">
        <v>9</v>
      </c>
      <c r="P703" s="4"/>
      <c r="Q703" s="23">
        <v>2</v>
      </c>
      <c r="R703" s="23">
        <v>72</v>
      </c>
      <c r="S703" s="23">
        <v>4234.6000000000004</v>
      </c>
      <c r="T703" s="23">
        <v>3889.6</v>
      </c>
      <c r="U703" s="23">
        <v>3889.6</v>
      </c>
      <c r="V703" s="4"/>
      <c r="W703" s="311" t="s">
        <v>218</v>
      </c>
      <c r="X703" s="312" t="s">
        <v>218</v>
      </c>
      <c r="Y703" s="122" t="s">
        <v>218</v>
      </c>
      <c r="Z703" s="312" t="s">
        <v>218</v>
      </c>
      <c r="AA703" s="122" t="s">
        <v>218</v>
      </c>
      <c r="AB703" s="313" t="str">
        <f t="shared" si="15"/>
        <v>да</v>
      </c>
      <c r="AC703" s="4" t="s">
        <v>219</v>
      </c>
      <c r="AD703" s="53" t="s">
        <v>218</v>
      </c>
      <c r="AE703" s="53" t="s">
        <v>219</v>
      </c>
      <c r="AF703" s="23">
        <v>2</v>
      </c>
      <c r="AG703" s="23">
        <v>2</v>
      </c>
      <c r="AH703" s="23">
        <v>2</v>
      </c>
      <c r="AI703" s="23">
        <v>1</v>
      </c>
      <c r="AJ703" s="23">
        <v>1</v>
      </c>
      <c r="AK703" s="23">
        <v>0</v>
      </c>
      <c r="AL703" s="4"/>
    </row>
    <row r="704" spans="1:38" ht="32.25" customHeight="1" x14ac:dyDescent="0.3">
      <c r="A704" s="80">
        <v>697</v>
      </c>
      <c r="B704" s="320" t="s">
        <v>196</v>
      </c>
      <c r="C704" s="4" t="s">
        <v>1427</v>
      </c>
      <c r="D704" s="321" t="s">
        <v>1454</v>
      </c>
      <c r="E704" s="122">
        <v>7</v>
      </c>
      <c r="F704" s="122">
        <v>1</v>
      </c>
      <c r="G704" s="122"/>
      <c r="H704" s="84" t="s">
        <v>1540</v>
      </c>
      <c r="I704" s="4" t="s">
        <v>341</v>
      </c>
      <c r="J704" s="4"/>
      <c r="K704" s="4" t="s">
        <v>801</v>
      </c>
      <c r="L704" s="310" t="s">
        <v>1455</v>
      </c>
      <c r="M704" s="132">
        <v>1974</v>
      </c>
      <c r="N704" s="132" t="s">
        <v>318</v>
      </c>
      <c r="O704" s="4">
        <v>9</v>
      </c>
      <c r="P704" s="4"/>
      <c r="Q704" s="23">
        <v>9</v>
      </c>
      <c r="R704" s="23">
        <v>340</v>
      </c>
      <c r="S704" s="23">
        <v>19749.3</v>
      </c>
      <c r="T704" s="23">
        <v>18202.400000000001</v>
      </c>
      <c r="U704" s="23">
        <v>18202.400000000001</v>
      </c>
      <c r="V704" s="4"/>
      <c r="W704" s="311" t="s">
        <v>218</v>
      </c>
      <c r="X704" s="312" t="s">
        <v>218</v>
      </c>
      <c r="Y704" s="122" t="s">
        <v>218</v>
      </c>
      <c r="Z704" s="312" t="s">
        <v>218</v>
      </c>
      <c r="AA704" s="122" t="s">
        <v>218</v>
      </c>
      <c r="AB704" s="313" t="str">
        <f t="shared" si="15"/>
        <v>да</v>
      </c>
      <c r="AC704" s="4" t="s">
        <v>219</v>
      </c>
      <c r="AD704" s="53" t="s">
        <v>218</v>
      </c>
      <c r="AE704" s="53" t="s">
        <v>219</v>
      </c>
      <c r="AF704" s="23">
        <v>9</v>
      </c>
      <c r="AG704" s="23">
        <v>2</v>
      </c>
      <c r="AH704" s="23">
        <v>1</v>
      </c>
      <c r="AI704" s="23">
        <v>2</v>
      </c>
      <c r="AJ704" s="23">
        <v>2</v>
      </c>
      <c r="AK704" s="23">
        <v>0</v>
      </c>
      <c r="AL704" s="4"/>
    </row>
    <row r="705" spans="1:38" ht="32.25" customHeight="1" x14ac:dyDescent="0.3">
      <c r="A705" s="5">
        <v>698</v>
      </c>
      <c r="B705" s="320" t="s">
        <v>196</v>
      </c>
      <c r="C705" s="4" t="s">
        <v>1427</v>
      </c>
      <c r="D705" s="321" t="s">
        <v>1452</v>
      </c>
      <c r="E705" s="122">
        <v>7</v>
      </c>
      <c r="F705" s="122">
        <v>3</v>
      </c>
      <c r="G705" s="122"/>
      <c r="H705" s="84" t="s">
        <v>1541</v>
      </c>
      <c r="I705" s="4" t="s">
        <v>341</v>
      </c>
      <c r="J705" s="4"/>
      <c r="K705" s="4" t="s">
        <v>801</v>
      </c>
      <c r="L705" s="310" t="s">
        <v>1456</v>
      </c>
      <c r="M705" s="132">
        <v>1985</v>
      </c>
      <c r="N705" s="132" t="s">
        <v>216</v>
      </c>
      <c r="O705" s="4">
        <v>16</v>
      </c>
      <c r="P705" s="4"/>
      <c r="Q705" s="23">
        <v>1</v>
      </c>
      <c r="R705" s="23">
        <v>110</v>
      </c>
      <c r="S705" s="23">
        <v>6623.8</v>
      </c>
      <c r="T705" s="23">
        <v>5610.6</v>
      </c>
      <c r="U705" s="23">
        <v>5610.6</v>
      </c>
      <c r="V705" s="4"/>
      <c r="W705" s="311" t="s">
        <v>218</v>
      </c>
      <c r="X705" s="312" t="s">
        <v>218</v>
      </c>
      <c r="Y705" s="122" t="s">
        <v>218</v>
      </c>
      <c r="Z705" s="312" t="s">
        <v>218</v>
      </c>
      <c r="AA705" s="122" t="s">
        <v>218</v>
      </c>
      <c r="AB705" s="313" t="str">
        <f t="shared" si="15"/>
        <v>нет</v>
      </c>
      <c r="AC705" s="4" t="s">
        <v>219</v>
      </c>
      <c r="AD705" s="53" t="s">
        <v>219</v>
      </c>
      <c r="AE705" s="53" t="s">
        <v>218</v>
      </c>
      <c r="AF705" s="23">
        <v>2</v>
      </c>
      <c r="AG705" s="23">
        <v>2</v>
      </c>
      <c r="AH705" s="23">
        <v>4</v>
      </c>
      <c r="AI705" s="23">
        <v>1</v>
      </c>
      <c r="AJ705" s="23">
        <v>1</v>
      </c>
      <c r="AK705" s="23">
        <v>0</v>
      </c>
      <c r="AL705" s="4"/>
    </row>
    <row r="706" spans="1:38" ht="32.25" customHeight="1" x14ac:dyDescent="0.3">
      <c r="A706" s="80">
        <v>699</v>
      </c>
      <c r="B706" s="320" t="s">
        <v>196</v>
      </c>
      <c r="C706" s="4" t="s">
        <v>1427</v>
      </c>
      <c r="D706" s="321" t="s">
        <v>1452</v>
      </c>
      <c r="E706" s="122">
        <v>31</v>
      </c>
      <c r="F706" s="122">
        <v>5</v>
      </c>
      <c r="G706" s="122"/>
      <c r="H706" s="84" t="s">
        <v>1542</v>
      </c>
      <c r="I706" s="4" t="s">
        <v>341</v>
      </c>
      <c r="J706" s="4"/>
      <c r="K706" s="4" t="s">
        <v>801</v>
      </c>
      <c r="L706" s="310" t="s">
        <v>1428</v>
      </c>
      <c r="M706" s="132">
        <v>1979</v>
      </c>
      <c r="N706" s="132" t="s">
        <v>216</v>
      </c>
      <c r="O706" s="4">
        <v>9</v>
      </c>
      <c r="P706" s="4"/>
      <c r="Q706" s="23">
        <v>2</v>
      </c>
      <c r="R706" s="23">
        <v>72</v>
      </c>
      <c r="S706" s="23">
        <v>4541.3</v>
      </c>
      <c r="T706" s="23">
        <v>4164.74</v>
      </c>
      <c r="U706" s="23">
        <v>4164.74</v>
      </c>
      <c r="V706" s="4"/>
      <c r="W706" s="311" t="s">
        <v>218</v>
      </c>
      <c r="X706" s="312" t="s">
        <v>218</v>
      </c>
      <c r="Y706" s="122" t="s">
        <v>218</v>
      </c>
      <c r="Z706" s="312" t="s">
        <v>218</v>
      </c>
      <c r="AA706" s="122" t="s">
        <v>218</v>
      </c>
      <c r="AB706" s="313" t="str">
        <f t="shared" si="15"/>
        <v>да</v>
      </c>
      <c r="AC706" s="4" t="s">
        <v>219</v>
      </c>
      <c r="AD706" s="53" t="s">
        <v>218</v>
      </c>
      <c r="AE706" s="53" t="s">
        <v>219</v>
      </c>
      <c r="AF706" s="23">
        <v>2</v>
      </c>
      <c r="AG706" s="23">
        <v>2</v>
      </c>
      <c r="AH706" s="23">
        <v>3</v>
      </c>
      <c r="AI706" s="23">
        <v>1</v>
      </c>
      <c r="AJ706" s="23">
        <v>1</v>
      </c>
      <c r="AK706" s="23">
        <v>0</v>
      </c>
      <c r="AL706" s="4"/>
    </row>
    <row r="707" spans="1:38" ht="32.25" customHeight="1" x14ac:dyDescent="0.3">
      <c r="A707" s="5">
        <v>700</v>
      </c>
      <c r="B707" s="320" t="s">
        <v>196</v>
      </c>
      <c r="C707" s="4" t="s">
        <v>1427</v>
      </c>
      <c r="D707" s="321" t="s">
        <v>1457</v>
      </c>
      <c r="E707" s="122">
        <v>33</v>
      </c>
      <c r="F707" s="122">
        <v>2</v>
      </c>
      <c r="G707" s="122"/>
      <c r="H707" s="84" t="s">
        <v>1543</v>
      </c>
      <c r="I707" s="4" t="s">
        <v>341</v>
      </c>
      <c r="J707" s="4"/>
      <c r="K707" s="4" t="s">
        <v>801</v>
      </c>
      <c r="L707" s="310" t="s">
        <v>1428</v>
      </c>
      <c r="M707" s="132">
        <v>1979</v>
      </c>
      <c r="N707" s="132" t="s">
        <v>216</v>
      </c>
      <c r="O707" s="4">
        <v>9</v>
      </c>
      <c r="P707" s="4"/>
      <c r="Q707" s="23">
        <v>9</v>
      </c>
      <c r="R707" s="23">
        <v>323</v>
      </c>
      <c r="S707" s="23">
        <v>17344.5</v>
      </c>
      <c r="T707" s="23">
        <v>16060.8</v>
      </c>
      <c r="U707" s="23">
        <v>16060.8</v>
      </c>
      <c r="V707" s="4"/>
      <c r="W707" s="311" t="s">
        <v>218</v>
      </c>
      <c r="X707" s="312" t="s">
        <v>218</v>
      </c>
      <c r="Y707" s="122" t="s">
        <v>218</v>
      </c>
      <c r="Z707" s="312" t="s">
        <v>218</v>
      </c>
      <c r="AA707" s="122" t="s">
        <v>218</v>
      </c>
      <c r="AB707" s="313" t="str">
        <f t="shared" si="15"/>
        <v>да</v>
      </c>
      <c r="AC707" s="4" t="s">
        <v>219</v>
      </c>
      <c r="AD707" s="53" t="s">
        <v>218</v>
      </c>
      <c r="AE707" s="53" t="s">
        <v>219</v>
      </c>
      <c r="AF707" s="23">
        <v>9</v>
      </c>
      <c r="AG707" s="23">
        <v>4</v>
      </c>
      <c r="AH707" s="23">
        <v>2</v>
      </c>
      <c r="AI707" s="23">
        <v>3</v>
      </c>
      <c r="AJ707" s="23">
        <v>3</v>
      </c>
      <c r="AK707" s="23">
        <v>0</v>
      </c>
      <c r="AL707" s="4"/>
    </row>
    <row r="708" spans="1:38" ht="32.25" customHeight="1" x14ac:dyDescent="0.3">
      <c r="A708" s="80">
        <v>701</v>
      </c>
      <c r="B708" s="320" t="s">
        <v>196</v>
      </c>
      <c r="C708" s="4" t="s">
        <v>1427</v>
      </c>
      <c r="D708" s="321" t="s">
        <v>1458</v>
      </c>
      <c r="E708" s="122">
        <v>43</v>
      </c>
      <c r="F708" s="122" t="s">
        <v>245</v>
      </c>
      <c r="G708" s="122"/>
      <c r="H708" s="84" t="s">
        <v>1544</v>
      </c>
      <c r="I708" s="4" t="s">
        <v>341</v>
      </c>
      <c r="J708" s="4"/>
      <c r="K708" s="4" t="s">
        <v>801</v>
      </c>
      <c r="L708" s="310" t="s">
        <v>1456</v>
      </c>
      <c r="M708" s="132">
        <v>1981</v>
      </c>
      <c r="N708" s="132" t="s">
        <v>216</v>
      </c>
      <c r="O708" s="4">
        <v>15</v>
      </c>
      <c r="P708" s="4"/>
      <c r="Q708" s="23">
        <v>2</v>
      </c>
      <c r="R708" s="23">
        <v>28</v>
      </c>
      <c r="S708" s="23">
        <v>8242.06</v>
      </c>
      <c r="T708" s="23">
        <v>6093.06</v>
      </c>
      <c r="U708" s="23">
        <v>5464.76</v>
      </c>
      <c r="V708" s="4">
        <v>628.29999999999995</v>
      </c>
      <c r="W708" s="311" t="s">
        <v>218</v>
      </c>
      <c r="X708" s="312" t="s">
        <v>218</v>
      </c>
      <c r="Y708" s="122" t="s">
        <v>218</v>
      </c>
      <c r="Z708" s="312" t="s">
        <v>218</v>
      </c>
      <c r="AA708" s="122" t="s">
        <v>218</v>
      </c>
      <c r="AB708" s="313" t="str">
        <f t="shared" si="15"/>
        <v>нет</v>
      </c>
      <c r="AC708" s="4" t="s">
        <v>219</v>
      </c>
      <c r="AD708" s="53" t="s">
        <v>219</v>
      </c>
      <c r="AE708" s="53" t="s">
        <v>218</v>
      </c>
      <c r="AF708" s="23">
        <v>3</v>
      </c>
      <c r="AG708" s="23">
        <v>4</v>
      </c>
      <c r="AH708" s="23">
        <v>5</v>
      </c>
      <c r="AI708" s="23">
        <v>1</v>
      </c>
      <c r="AJ708" s="23">
        <v>1</v>
      </c>
      <c r="AK708" s="23">
        <v>0</v>
      </c>
      <c r="AL708" s="4"/>
    </row>
    <row r="709" spans="1:38" ht="32.25" customHeight="1" x14ac:dyDescent="0.3">
      <c r="A709" s="5">
        <v>702</v>
      </c>
      <c r="B709" s="320" t="s">
        <v>196</v>
      </c>
      <c r="C709" s="4" t="s">
        <v>1407</v>
      </c>
      <c r="D709" s="321" t="s">
        <v>1459</v>
      </c>
      <c r="E709" s="122">
        <v>4</v>
      </c>
      <c r="F709" s="122">
        <v>1</v>
      </c>
      <c r="G709" s="122"/>
      <c r="H709" s="84" t="s">
        <v>1545</v>
      </c>
      <c r="I709" s="4" t="s">
        <v>341</v>
      </c>
      <c r="J709" s="4"/>
      <c r="K709" s="4" t="s">
        <v>801</v>
      </c>
      <c r="L709" s="310" t="s">
        <v>1460</v>
      </c>
      <c r="M709" s="132">
        <v>1973</v>
      </c>
      <c r="N709" s="132" t="s">
        <v>216</v>
      </c>
      <c r="O709" s="4">
        <v>9</v>
      </c>
      <c r="P709" s="4"/>
      <c r="Q709" s="23">
        <v>7</v>
      </c>
      <c r="R709" s="23">
        <v>251</v>
      </c>
      <c r="S709" s="23">
        <v>15064.89</v>
      </c>
      <c r="T709" s="23">
        <v>13532.89</v>
      </c>
      <c r="U709" s="23">
        <v>13532.89</v>
      </c>
      <c r="V709" s="4"/>
      <c r="W709" s="311" t="s">
        <v>218</v>
      </c>
      <c r="X709" s="312" t="s">
        <v>218</v>
      </c>
      <c r="Y709" s="122" t="s">
        <v>218</v>
      </c>
      <c r="Z709" s="312" t="s">
        <v>218</v>
      </c>
      <c r="AA709" s="122" t="s">
        <v>218</v>
      </c>
      <c r="AB709" s="313" t="str">
        <f t="shared" si="15"/>
        <v>да</v>
      </c>
      <c r="AC709" s="4" t="s">
        <v>219</v>
      </c>
      <c r="AD709" s="53" t="s">
        <v>218</v>
      </c>
      <c r="AE709" s="53" t="s">
        <v>219</v>
      </c>
      <c r="AF709" s="23">
        <v>7</v>
      </c>
      <c r="AG709" s="23">
        <v>2</v>
      </c>
      <c r="AH709" s="23">
        <v>2</v>
      </c>
      <c r="AI709" s="23">
        <v>2</v>
      </c>
      <c r="AJ709" s="23">
        <v>2</v>
      </c>
      <c r="AK709" s="23">
        <v>0</v>
      </c>
      <c r="AL709" s="4"/>
    </row>
    <row r="710" spans="1:38" ht="32.25" customHeight="1" x14ac:dyDescent="0.3">
      <c r="A710" s="80">
        <v>703</v>
      </c>
      <c r="B710" s="320" t="s">
        <v>196</v>
      </c>
      <c r="C710" s="4" t="s">
        <v>1407</v>
      </c>
      <c r="D710" s="321" t="s">
        <v>1461</v>
      </c>
      <c r="E710" s="122">
        <v>4</v>
      </c>
      <c r="F710" s="122">
        <v>4</v>
      </c>
      <c r="G710" s="122"/>
      <c r="H710" s="84" t="s">
        <v>1546</v>
      </c>
      <c r="I710" s="4" t="s">
        <v>341</v>
      </c>
      <c r="J710" s="4"/>
      <c r="K710" s="4" t="s">
        <v>801</v>
      </c>
      <c r="L710" s="310" t="s">
        <v>1424</v>
      </c>
      <c r="M710" s="132">
        <v>1980</v>
      </c>
      <c r="N710" s="132" t="s">
        <v>216</v>
      </c>
      <c r="O710" s="4">
        <v>15</v>
      </c>
      <c r="P710" s="4"/>
      <c r="Q710" s="23">
        <v>2</v>
      </c>
      <c r="R710" s="23">
        <v>30</v>
      </c>
      <c r="S710" s="23">
        <v>9541.99</v>
      </c>
      <c r="T710" s="23">
        <v>7316.49</v>
      </c>
      <c r="U710" s="23">
        <v>5674.09</v>
      </c>
      <c r="V710" s="4">
        <v>1642.4</v>
      </c>
      <c r="W710" s="311" t="s">
        <v>218</v>
      </c>
      <c r="X710" s="312" t="s">
        <v>218</v>
      </c>
      <c r="Y710" s="122" t="s">
        <v>218</v>
      </c>
      <c r="Z710" s="312" t="s">
        <v>218</v>
      </c>
      <c r="AA710" s="122" t="s">
        <v>218</v>
      </c>
      <c r="AB710" s="313" t="str">
        <f t="shared" si="15"/>
        <v>нет</v>
      </c>
      <c r="AC710" s="4" t="s">
        <v>219</v>
      </c>
      <c r="AD710" s="53" t="s">
        <v>219</v>
      </c>
      <c r="AE710" s="53" t="s">
        <v>218</v>
      </c>
      <c r="AF710" s="23">
        <v>4</v>
      </c>
      <c r="AG710" s="23">
        <v>3</v>
      </c>
      <c r="AH710" s="23">
        <v>4</v>
      </c>
      <c r="AI710" s="23">
        <v>1</v>
      </c>
      <c r="AJ710" s="23">
        <v>1</v>
      </c>
      <c r="AK710" s="23">
        <v>0</v>
      </c>
      <c r="AL710" s="4"/>
    </row>
    <row r="711" spans="1:38" ht="32.25" customHeight="1" x14ac:dyDescent="0.3">
      <c r="A711" s="5">
        <v>704</v>
      </c>
      <c r="B711" s="320" t="s">
        <v>196</v>
      </c>
      <c r="C711" s="4" t="s">
        <v>1407</v>
      </c>
      <c r="D711" s="321" t="s">
        <v>1462</v>
      </c>
      <c r="E711" s="122">
        <v>6</v>
      </c>
      <c r="F711" s="122">
        <v>4</v>
      </c>
      <c r="G711" s="122"/>
      <c r="H711" s="84" t="s">
        <v>1547</v>
      </c>
      <c r="I711" s="4" t="s">
        <v>341</v>
      </c>
      <c r="J711" s="4"/>
      <c r="K711" s="4" t="s">
        <v>801</v>
      </c>
      <c r="L711" s="310" t="s">
        <v>1463</v>
      </c>
      <c r="M711" s="132">
        <v>1975</v>
      </c>
      <c r="N711" s="132" t="s">
        <v>216</v>
      </c>
      <c r="O711" s="4">
        <v>9</v>
      </c>
      <c r="P711" s="4"/>
      <c r="Q711" s="23">
        <v>19</v>
      </c>
      <c r="R711" s="23">
        <v>716</v>
      </c>
      <c r="S711" s="23">
        <v>38423.9</v>
      </c>
      <c r="T711" s="23">
        <v>34849.1</v>
      </c>
      <c r="U711" s="23">
        <v>34769.800000000003</v>
      </c>
      <c r="V711" s="4">
        <v>79.3</v>
      </c>
      <c r="W711" s="311" t="s">
        <v>218</v>
      </c>
      <c r="X711" s="312" t="s">
        <v>218</v>
      </c>
      <c r="Y711" s="122" t="s">
        <v>218</v>
      </c>
      <c r="Z711" s="312" t="s">
        <v>218</v>
      </c>
      <c r="AA711" s="122" t="s">
        <v>218</v>
      </c>
      <c r="AB711" s="313" t="str">
        <f t="shared" si="15"/>
        <v>да</v>
      </c>
      <c r="AC711" s="4" t="s">
        <v>219</v>
      </c>
      <c r="AD711" s="53" t="s">
        <v>218</v>
      </c>
      <c r="AE711" s="53" t="s">
        <v>219</v>
      </c>
      <c r="AF711" s="23">
        <v>19</v>
      </c>
      <c r="AG711" s="23">
        <v>6</v>
      </c>
      <c r="AH711" s="23">
        <v>3</v>
      </c>
      <c r="AI711" s="23">
        <v>7</v>
      </c>
      <c r="AJ711" s="23">
        <v>7</v>
      </c>
      <c r="AK711" s="23">
        <v>0</v>
      </c>
      <c r="AL711" s="4"/>
    </row>
    <row r="712" spans="1:38" ht="32.25" customHeight="1" x14ac:dyDescent="0.3">
      <c r="A712" s="80">
        <v>705</v>
      </c>
      <c r="B712" s="320" t="s">
        <v>196</v>
      </c>
      <c r="C712" s="4" t="s">
        <v>1407</v>
      </c>
      <c r="D712" s="321" t="s">
        <v>1464</v>
      </c>
      <c r="E712" s="122">
        <v>8</v>
      </c>
      <c r="F712" s="122">
        <v>1</v>
      </c>
      <c r="G712" s="122"/>
      <c r="H712" s="84" t="s">
        <v>1548</v>
      </c>
      <c r="I712" s="4" t="s">
        <v>341</v>
      </c>
      <c r="J712" s="4"/>
      <c r="K712" s="4" t="s">
        <v>801</v>
      </c>
      <c r="L712" s="310" t="s">
        <v>1465</v>
      </c>
      <c r="M712" s="132">
        <v>1975</v>
      </c>
      <c r="N712" s="132" t="s">
        <v>216</v>
      </c>
      <c r="O712" s="4">
        <v>9</v>
      </c>
      <c r="P712" s="4"/>
      <c r="Q712" s="23">
        <v>20</v>
      </c>
      <c r="R712" s="23">
        <v>752</v>
      </c>
      <c r="S712" s="23">
        <v>40181.07</v>
      </c>
      <c r="T712" s="23">
        <v>36809.07</v>
      </c>
      <c r="U712" s="23">
        <v>36729.269999999997</v>
      </c>
      <c r="V712" s="4">
        <v>79.8</v>
      </c>
      <c r="W712" s="311" t="s">
        <v>218</v>
      </c>
      <c r="X712" s="312" t="s">
        <v>218</v>
      </c>
      <c r="Y712" s="122" t="s">
        <v>218</v>
      </c>
      <c r="Z712" s="312" t="s">
        <v>218</v>
      </c>
      <c r="AA712" s="122" t="s">
        <v>218</v>
      </c>
      <c r="AB712" s="313" t="str">
        <f t="shared" si="15"/>
        <v>да</v>
      </c>
      <c r="AC712" s="4" t="s">
        <v>219</v>
      </c>
      <c r="AD712" s="53" t="s">
        <v>218</v>
      </c>
      <c r="AE712" s="53" t="s">
        <v>219</v>
      </c>
      <c r="AF712" s="23">
        <v>20</v>
      </c>
      <c r="AG712" s="23">
        <v>6</v>
      </c>
      <c r="AH712" s="23">
        <v>3</v>
      </c>
      <c r="AI712" s="23">
        <v>7</v>
      </c>
      <c r="AJ712" s="23">
        <v>7</v>
      </c>
      <c r="AK712" s="23">
        <v>0</v>
      </c>
      <c r="AL712" s="4"/>
    </row>
    <row r="713" spans="1:38" ht="32.25" customHeight="1" x14ac:dyDescent="0.3">
      <c r="A713" s="5">
        <v>706</v>
      </c>
      <c r="B713" s="320" t="s">
        <v>196</v>
      </c>
      <c r="C713" s="4" t="s">
        <v>1407</v>
      </c>
      <c r="D713" s="321" t="s">
        <v>1462</v>
      </c>
      <c r="E713" s="122">
        <v>10</v>
      </c>
      <c r="F713" s="122">
        <v>2</v>
      </c>
      <c r="G713" s="122"/>
      <c r="H713" s="84" t="s">
        <v>1549</v>
      </c>
      <c r="I713" s="4" t="s">
        <v>341</v>
      </c>
      <c r="J713" s="4"/>
      <c r="K713" s="4" t="s">
        <v>801</v>
      </c>
      <c r="L713" s="310" t="s">
        <v>1466</v>
      </c>
      <c r="M713" s="132">
        <v>1973</v>
      </c>
      <c r="N713" s="132" t="s">
        <v>216</v>
      </c>
      <c r="O713" s="4">
        <v>9</v>
      </c>
      <c r="P713" s="4"/>
      <c r="Q713" s="23">
        <v>7</v>
      </c>
      <c r="R713" s="23">
        <v>251</v>
      </c>
      <c r="S713" s="23">
        <v>14861.89</v>
      </c>
      <c r="T713" s="23">
        <v>13284.09</v>
      </c>
      <c r="U713" s="23">
        <v>13276.39</v>
      </c>
      <c r="V713" s="4">
        <v>7.7</v>
      </c>
      <c r="W713" s="311" t="s">
        <v>218</v>
      </c>
      <c r="X713" s="312" t="s">
        <v>218</v>
      </c>
      <c r="Y713" s="122" t="s">
        <v>218</v>
      </c>
      <c r="Z713" s="312" t="s">
        <v>218</v>
      </c>
      <c r="AA713" s="122" t="s">
        <v>218</v>
      </c>
      <c r="AB713" s="313" t="str">
        <f t="shared" si="15"/>
        <v>да</v>
      </c>
      <c r="AC713" s="4" t="s">
        <v>219</v>
      </c>
      <c r="AD713" s="53" t="s">
        <v>218</v>
      </c>
      <c r="AE713" s="53" t="s">
        <v>219</v>
      </c>
      <c r="AF713" s="23">
        <v>7</v>
      </c>
      <c r="AG713" s="23">
        <v>2</v>
      </c>
      <c r="AH713" s="23">
        <v>2</v>
      </c>
      <c r="AI713" s="23">
        <v>2</v>
      </c>
      <c r="AJ713" s="23">
        <v>2</v>
      </c>
      <c r="AK713" s="23">
        <v>0</v>
      </c>
      <c r="AL713" s="4"/>
    </row>
    <row r="714" spans="1:38" ht="32.25" customHeight="1" x14ac:dyDescent="0.3">
      <c r="A714" s="80">
        <v>707</v>
      </c>
      <c r="B714" s="320" t="s">
        <v>196</v>
      </c>
      <c r="C714" s="4" t="s">
        <v>1407</v>
      </c>
      <c r="D714" s="321" t="s">
        <v>1464</v>
      </c>
      <c r="E714" s="122">
        <v>10</v>
      </c>
      <c r="F714" s="122">
        <v>3</v>
      </c>
      <c r="G714" s="122"/>
      <c r="H714" s="84" t="s">
        <v>1550</v>
      </c>
      <c r="I714" s="4" t="s">
        <v>341</v>
      </c>
      <c r="J714" s="4"/>
      <c r="K714" s="4" t="s">
        <v>801</v>
      </c>
      <c r="L714" s="310" t="s">
        <v>1467</v>
      </c>
      <c r="M714" s="132">
        <v>1973</v>
      </c>
      <c r="N714" s="132" t="s">
        <v>216</v>
      </c>
      <c r="O714" s="4">
        <v>9</v>
      </c>
      <c r="P714" s="4"/>
      <c r="Q714" s="23">
        <v>7</v>
      </c>
      <c r="R714" s="23">
        <v>251</v>
      </c>
      <c r="S714" s="23">
        <v>15096.99</v>
      </c>
      <c r="T714" s="23">
        <v>13432.59</v>
      </c>
      <c r="U714" s="23">
        <v>13432.59</v>
      </c>
      <c r="V714" s="4"/>
      <c r="W714" s="311" t="s">
        <v>218</v>
      </c>
      <c r="X714" s="312" t="s">
        <v>218</v>
      </c>
      <c r="Y714" s="122" t="s">
        <v>218</v>
      </c>
      <c r="Z714" s="312" t="s">
        <v>218</v>
      </c>
      <c r="AA714" s="122" t="s">
        <v>218</v>
      </c>
      <c r="AB714" s="313" t="str">
        <f t="shared" si="15"/>
        <v>да</v>
      </c>
      <c r="AC714" s="4" t="s">
        <v>219</v>
      </c>
      <c r="AD714" s="53" t="s">
        <v>218</v>
      </c>
      <c r="AE714" s="53" t="s">
        <v>219</v>
      </c>
      <c r="AF714" s="23">
        <v>7</v>
      </c>
      <c r="AG714" s="23">
        <v>2</v>
      </c>
      <c r="AH714" s="23">
        <v>2</v>
      </c>
      <c r="AI714" s="23">
        <v>2</v>
      </c>
      <c r="AJ714" s="23">
        <v>2</v>
      </c>
      <c r="AK714" s="23">
        <v>0</v>
      </c>
      <c r="AL714" s="4"/>
    </row>
    <row r="715" spans="1:38" ht="32.25" customHeight="1" x14ac:dyDescent="0.3">
      <c r="A715" s="5">
        <v>708</v>
      </c>
      <c r="B715" s="320" t="s">
        <v>196</v>
      </c>
      <c r="C715" s="4" t="s">
        <v>1407</v>
      </c>
      <c r="D715" s="321" t="s">
        <v>1462</v>
      </c>
      <c r="E715" s="122">
        <v>12</v>
      </c>
      <c r="F715" s="122">
        <v>1</v>
      </c>
      <c r="G715" s="122"/>
      <c r="H715" s="84" t="s">
        <v>1551</v>
      </c>
      <c r="I715" s="4" t="s">
        <v>341</v>
      </c>
      <c r="J715" s="4"/>
      <c r="K715" s="4" t="s">
        <v>801</v>
      </c>
      <c r="L715" s="310" t="s">
        <v>1468</v>
      </c>
      <c r="M715" s="132">
        <v>1992</v>
      </c>
      <c r="N715" s="132" t="s">
        <v>318</v>
      </c>
      <c r="O715" s="4">
        <v>16</v>
      </c>
      <c r="P715" s="4"/>
      <c r="Q715" s="23">
        <v>1</v>
      </c>
      <c r="R715" s="23">
        <v>110</v>
      </c>
      <c r="S715" s="23">
        <v>6550.4</v>
      </c>
      <c r="T715" s="23">
        <v>5533.7</v>
      </c>
      <c r="U715" s="23">
        <v>5480.5</v>
      </c>
      <c r="V715" s="4">
        <v>53.2</v>
      </c>
      <c r="W715" s="311" t="s">
        <v>218</v>
      </c>
      <c r="X715" s="312" t="s">
        <v>218</v>
      </c>
      <c r="Y715" s="122" t="s">
        <v>218</v>
      </c>
      <c r="Z715" s="312" t="s">
        <v>218</v>
      </c>
      <c r="AA715" s="122" t="s">
        <v>218</v>
      </c>
      <c r="AB715" s="313" t="str">
        <f t="shared" si="15"/>
        <v>нет</v>
      </c>
      <c r="AC715" s="4" t="s">
        <v>219</v>
      </c>
      <c r="AD715" s="53" t="s">
        <v>219</v>
      </c>
      <c r="AE715" s="53" t="s">
        <v>218</v>
      </c>
      <c r="AF715" s="23">
        <v>2</v>
      </c>
      <c r="AG715" s="23">
        <v>3</v>
      </c>
      <c r="AH715" s="23">
        <v>4</v>
      </c>
      <c r="AI715" s="23">
        <v>1</v>
      </c>
      <c r="AJ715" s="23">
        <v>1</v>
      </c>
      <c r="AK715" s="23">
        <v>0</v>
      </c>
      <c r="AL715" s="4"/>
    </row>
    <row r="716" spans="1:38" ht="32.25" customHeight="1" x14ac:dyDescent="0.3">
      <c r="A716" s="80">
        <v>709</v>
      </c>
      <c r="B716" s="320" t="s">
        <v>196</v>
      </c>
      <c r="C716" s="4" t="s">
        <v>1407</v>
      </c>
      <c r="D716" s="321" t="s">
        <v>354</v>
      </c>
      <c r="E716" s="122">
        <v>13</v>
      </c>
      <c r="F716" s="122">
        <v>1</v>
      </c>
      <c r="G716" s="122"/>
      <c r="H716" s="84" t="s">
        <v>1552</v>
      </c>
      <c r="I716" s="4" t="s">
        <v>341</v>
      </c>
      <c r="J716" s="4"/>
      <c r="K716" s="4" t="s">
        <v>801</v>
      </c>
      <c r="L716" s="310" t="s">
        <v>1469</v>
      </c>
      <c r="M716" s="132">
        <v>1973</v>
      </c>
      <c r="N716" s="132" t="s">
        <v>216</v>
      </c>
      <c r="O716" s="4">
        <v>9</v>
      </c>
      <c r="P716" s="4"/>
      <c r="Q716" s="23">
        <v>7</v>
      </c>
      <c r="R716" s="23">
        <v>259</v>
      </c>
      <c r="S716" s="23">
        <v>15200.86</v>
      </c>
      <c r="T716" s="23">
        <v>13916.36</v>
      </c>
      <c r="U716" s="23">
        <v>13763.06</v>
      </c>
      <c r="V716" s="4">
        <v>153.30000000000001</v>
      </c>
      <c r="W716" s="311" t="s">
        <v>218</v>
      </c>
      <c r="X716" s="312" t="s">
        <v>218</v>
      </c>
      <c r="Y716" s="122" t="s">
        <v>218</v>
      </c>
      <c r="Z716" s="312" t="s">
        <v>218</v>
      </c>
      <c r="AA716" s="122" t="s">
        <v>218</v>
      </c>
      <c r="AB716" s="313" t="str">
        <f t="shared" si="15"/>
        <v>да</v>
      </c>
      <c r="AC716" s="4" t="s">
        <v>219</v>
      </c>
      <c r="AD716" s="53" t="s">
        <v>218</v>
      </c>
      <c r="AE716" s="53" t="s">
        <v>219</v>
      </c>
      <c r="AF716" s="23">
        <v>7</v>
      </c>
      <c r="AG716" s="23">
        <v>2</v>
      </c>
      <c r="AH716" s="23">
        <v>2</v>
      </c>
      <c r="AI716" s="23">
        <v>2</v>
      </c>
      <c r="AJ716" s="23">
        <v>2</v>
      </c>
      <c r="AK716" s="23">
        <v>0</v>
      </c>
      <c r="AL716" s="4"/>
    </row>
    <row r="717" spans="1:38" ht="32.25" customHeight="1" x14ac:dyDescent="0.3">
      <c r="A717" s="5">
        <v>710</v>
      </c>
      <c r="B717" s="320" t="s">
        <v>196</v>
      </c>
      <c r="C717" s="4" t="s">
        <v>1407</v>
      </c>
      <c r="D717" s="321" t="s">
        <v>1462</v>
      </c>
      <c r="E717" s="122">
        <v>14</v>
      </c>
      <c r="F717" s="122">
        <v>1</v>
      </c>
      <c r="G717" s="122"/>
      <c r="H717" s="84" t="s">
        <v>1553</v>
      </c>
      <c r="I717" s="4" t="s">
        <v>341</v>
      </c>
      <c r="J717" s="4"/>
      <c r="K717" s="4" t="s">
        <v>801</v>
      </c>
      <c r="L717" s="310" t="s">
        <v>1468</v>
      </c>
      <c r="M717" s="132">
        <v>1973</v>
      </c>
      <c r="N717" s="132" t="s">
        <v>216</v>
      </c>
      <c r="O717" s="4">
        <v>9</v>
      </c>
      <c r="P717" s="4"/>
      <c r="Q717" s="23">
        <v>5</v>
      </c>
      <c r="R717" s="23">
        <v>179</v>
      </c>
      <c r="S717" s="23">
        <v>10850.6</v>
      </c>
      <c r="T717" s="23">
        <v>9766</v>
      </c>
      <c r="U717" s="23">
        <v>9766</v>
      </c>
      <c r="V717" s="4"/>
      <c r="W717" s="311" t="s">
        <v>218</v>
      </c>
      <c r="X717" s="312" t="s">
        <v>218</v>
      </c>
      <c r="Y717" s="122" t="s">
        <v>218</v>
      </c>
      <c r="Z717" s="312" t="s">
        <v>218</v>
      </c>
      <c r="AA717" s="122" t="s">
        <v>218</v>
      </c>
      <c r="AB717" s="313" t="str">
        <f t="shared" si="15"/>
        <v>да</v>
      </c>
      <c r="AC717" s="4" t="s">
        <v>219</v>
      </c>
      <c r="AD717" s="53" t="s">
        <v>218</v>
      </c>
      <c r="AE717" s="53" t="s">
        <v>219</v>
      </c>
      <c r="AF717" s="23">
        <v>5</v>
      </c>
      <c r="AG717" s="23">
        <v>2</v>
      </c>
      <c r="AH717" s="23">
        <v>2</v>
      </c>
      <c r="AI717" s="23">
        <v>2</v>
      </c>
      <c r="AJ717" s="23">
        <v>2</v>
      </c>
      <c r="AK717" s="23">
        <v>0</v>
      </c>
      <c r="AL717" s="4"/>
    </row>
    <row r="718" spans="1:38" ht="32.25" customHeight="1" x14ac:dyDescent="0.3">
      <c r="A718" s="80">
        <v>711</v>
      </c>
      <c r="B718" s="320" t="s">
        <v>196</v>
      </c>
      <c r="C718" s="4" t="s">
        <v>1407</v>
      </c>
      <c r="D718" s="321" t="s">
        <v>1470</v>
      </c>
      <c r="E718" s="122">
        <v>15</v>
      </c>
      <c r="F718" s="122">
        <v>2</v>
      </c>
      <c r="G718" s="122"/>
      <c r="H718" s="84" t="s">
        <v>1554</v>
      </c>
      <c r="I718" s="4" t="s">
        <v>341</v>
      </c>
      <c r="J718" s="4"/>
      <c r="K718" s="4" t="s">
        <v>801</v>
      </c>
      <c r="L718" s="310"/>
      <c r="M718" s="132">
        <v>1983</v>
      </c>
      <c r="N718" s="132" t="s">
        <v>216</v>
      </c>
      <c r="O718" s="4">
        <v>9</v>
      </c>
      <c r="P718" s="4"/>
      <c r="Q718" s="23">
        <v>5</v>
      </c>
      <c r="R718" s="23">
        <v>179</v>
      </c>
      <c r="S718" s="23">
        <v>9007.7000000000007</v>
      </c>
      <c r="T718" s="23">
        <v>8187.3</v>
      </c>
      <c r="U718" s="23">
        <v>8187.3</v>
      </c>
      <c r="V718" s="4"/>
      <c r="W718" s="311" t="s">
        <v>218</v>
      </c>
      <c r="X718" s="312" t="s">
        <v>218</v>
      </c>
      <c r="Y718" s="122" t="s">
        <v>218</v>
      </c>
      <c r="Z718" s="312" t="s">
        <v>218</v>
      </c>
      <c r="AA718" s="122" t="s">
        <v>218</v>
      </c>
      <c r="AB718" s="313" t="str">
        <f t="shared" si="15"/>
        <v>да</v>
      </c>
      <c r="AC718" s="4" t="s">
        <v>219</v>
      </c>
      <c r="AD718" s="53" t="s">
        <v>218</v>
      </c>
      <c r="AE718" s="53" t="s">
        <v>219</v>
      </c>
      <c r="AF718" s="23">
        <v>5</v>
      </c>
      <c r="AG718" s="23">
        <v>2</v>
      </c>
      <c r="AH718" s="23">
        <v>2</v>
      </c>
      <c r="AI718" s="23">
        <v>1</v>
      </c>
      <c r="AJ718" s="23">
        <v>1</v>
      </c>
      <c r="AK718" s="23">
        <v>0</v>
      </c>
      <c r="AL718" s="4"/>
    </row>
    <row r="719" spans="1:38" ht="32.25" customHeight="1" x14ac:dyDescent="0.3">
      <c r="A719" s="5">
        <v>712</v>
      </c>
      <c r="B719" s="320" t="s">
        <v>196</v>
      </c>
      <c r="C719" s="4" t="s">
        <v>1407</v>
      </c>
      <c r="D719" s="321" t="s">
        <v>1464</v>
      </c>
      <c r="E719" s="122">
        <v>16</v>
      </c>
      <c r="F719" s="122"/>
      <c r="G719" s="122"/>
      <c r="H719" s="84" t="s">
        <v>1555</v>
      </c>
      <c r="I719" s="4" t="s">
        <v>341</v>
      </c>
      <c r="J719" s="4"/>
      <c r="K719" s="4" t="s">
        <v>801</v>
      </c>
      <c r="L719" s="310" t="s">
        <v>1466</v>
      </c>
      <c r="M719" s="132">
        <v>1974</v>
      </c>
      <c r="N719" s="132" t="s">
        <v>216</v>
      </c>
      <c r="O719" s="4">
        <v>9</v>
      </c>
      <c r="P719" s="4"/>
      <c r="Q719" s="23">
        <v>5</v>
      </c>
      <c r="R719" s="23">
        <v>179</v>
      </c>
      <c r="S719" s="23">
        <v>10938.05</v>
      </c>
      <c r="T719" s="23">
        <v>9769.0499999999993</v>
      </c>
      <c r="U719" s="23">
        <v>9769.0499999999993</v>
      </c>
      <c r="V719" s="4"/>
      <c r="W719" s="311" t="s">
        <v>218</v>
      </c>
      <c r="X719" s="312" t="s">
        <v>218</v>
      </c>
      <c r="Y719" s="122" t="s">
        <v>218</v>
      </c>
      <c r="Z719" s="312" t="s">
        <v>218</v>
      </c>
      <c r="AA719" s="122" t="s">
        <v>218</v>
      </c>
      <c r="AB719" s="313" t="str">
        <f t="shared" si="15"/>
        <v>да</v>
      </c>
      <c r="AC719" s="4" t="s">
        <v>219</v>
      </c>
      <c r="AD719" s="53" t="s">
        <v>218</v>
      </c>
      <c r="AE719" s="53" t="s">
        <v>219</v>
      </c>
      <c r="AF719" s="23">
        <v>5</v>
      </c>
      <c r="AG719" s="23">
        <v>2</v>
      </c>
      <c r="AH719" s="23">
        <v>2</v>
      </c>
      <c r="AI719" s="23">
        <v>2</v>
      </c>
      <c r="AJ719" s="23">
        <v>2</v>
      </c>
      <c r="AK719" s="23">
        <v>0</v>
      </c>
      <c r="AL719" s="4"/>
    </row>
    <row r="720" spans="1:38" ht="32.25" customHeight="1" x14ac:dyDescent="0.3">
      <c r="A720" s="80">
        <v>713</v>
      </c>
      <c r="B720" s="320" t="s">
        <v>196</v>
      </c>
      <c r="C720" s="4" t="s">
        <v>1407</v>
      </c>
      <c r="D720" s="321" t="s">
        <v>1470</v>
      </c>
      <c r="E720" s="122">
        <v>17</v>
      </c>
      <c r="F720" s="122">
        <v>4</v>
      </c>
      <c r="G720" s="122"/>
      <c r="H720" s="84" t="s">
        <v>1556</v>
      </c>
      <c r="I720" s="4" t="s">
        <v>341</v>
      </c>
      <c r="J720" s="4"/>
      <c r="K720" s="4" t="s">
        <v>801</v>
      </c>
      <c r="L720" s="310"/>
      <c r="M720" s="132">
        <v>1973</v>
      </c>
      <c r="N720" s="132" t="s">
        <v>216</v>
      </c>
      <c r="O720" s="4">
        <v>9</v>
      </c>
      <c r="P720" s="4"/>
      <c r="Q720" s="23">
        <v>4</v>
      </c>
      <c r="R720" s="23">
        <v>208</v>
      </c>
      <c r="S720" s="23">
        <v>11002.08</v>
      </c>
      <c r="T720" s="23">
        <v>9690.7800000000007</v>
      </c>
      <c r="U720" s="23">
        <v>9690.7800000000007</v>
      </c>
      <c r="V720" s="4"/>
      <c r="W720" s="311" t="s">
        <v>218</v>
      </c>
      <c r="X720" s="312" t="s">
        <v>218</v>
      </c>
      <c r="Y720" s="122" t="s">
        <v>218</v>
      </c>
      <c r="Z720" s="312" t="s">
        <v>218</v>
      </c>
      <c r="AA720" s="122" t="s">
        <v>218</v>
      </c>
      <c r="AB720" s="313" t="str">
        <f t="shared" ref="AB720:AB782" si="16">AD720</f>
        <v>да</v>
      </c>
      <c r="AC720" s="4" t="s">
        <v>219</v>
      </c>
      <c r="AD720" s="53" t="s">
        <v>218</v>
      </c>
      <c r="AE720" s="53" t="s">
        <v>219</v>
      </c>
      <c r="AF720" s="23">
        <v>4</v>
      </c>
      <c r="AG720" s="23">
        <v>2</v>
      </c>
      <c r="AH720" s="23">
        <v>1</v>
      </c>
      <c r="AI720" s="23">
        <v>1</v>
      </c>
      <c r="AJ720" s="23">
        <v>1</v>
      </c>
      <c r="AK720" s="23">
        <v>0</v>
      </c>
      <c r="AL720" s="4"/>
    </row>
    <row r="721" spans="1:38" ht="32.25" customHeight="1" x14ac:dyDescent="0.3">
      <c r="A721" s="5">
        <v>714</v>
      </c>
      <c r="B721" s="320" t="s">
        <v>196</v>
      </c>
      <c r="C721" s="4" t="s">
        <v>1407</v>
      </c>
      <c r="D721" s="321" t="s">
        <v>1462</v>
      </c>
      <c r="E721" s="122">
        <v>18</v>
      </c>
      <c r="F721" s="122"/>
      <c r="G721" s="122"/>
      <c r="H721" s="84" t="s">
        <v>1557</v>
      </c>
      <c r="I721" s="4" t="s">
        <v>341</v>
      </c>
      <c r="J721" s="4"/>
      <c r="K721" s="4" t="s">
        <v>801</v>
      </c>
      <c r="L721" s="310" t="s">
        <v>954</v>
      </c>
      <c r="M721" s="132">
        <v>1980</v>
      </c>
      <c r="N721" s="132" t="s">
        <v>216</v>
      </c>
      <c r="O721" s="4">
        <v>16</v>
      </c>
      <c r="P721" s="4"/>
      <c r="Q721" s="23">
        <v>1</v>
      </c>
      <c r="R721" s="23">
        <v>110</v>
      </c>
      <c r="S721" s="23">
        <v>9871.6</v>
      </c>
      <c r="T721" s="23">
        <v>5613.3</v>
      </c>
      <c r="U721" s="23">
        <v>5613.3</v>
      </c>
      <c r="V721" s="4"/>
      <c r="W721" s="311" t="s">
        <v>218</v>
      </c>
      <c r="X721" s="312" t="s">
        <v>218</v>
      </c>
      <c r="Y721" s="122" t="s">
        <v>218</v>
      </c>
      <c r="Z721" s="312" t="s">
        <v>218</v>
      </c>
      <c r="AA721" s="122" t="s">
        <v>218</v>
      </c>
      <c r="AB721" s="313" t="str">
        <f t="shared" si="16"/>
        <v>нет</v>
      </c>
      <c r="AC721" s="4" t="s">
        <v>219</v>
      </c>
      <c r="AD721" s="53" t="s">
        <v>219</v>
      </c>
      <c r="AE721" s="53" t="s">
        <v>218</v>
      </c>
      <c r="AF721" s="23">
        <v>2</v>
      </c>
      <c r="AG721" s="23">
        <v>2</v>
      </c>
      <c r="AH721" s="23">
        <v>3</v>
      </c>
      <c r="AI721" s="23">
        <v>1</v>
      </c>
      <c r="AJ721" s="23">
        <v>1</v>
      </c>
      <c r="AK721" s="23">
        <v>0</v>
      </c>
      <c r="AL721" s="4"/>
    </row>
    <row r="722" spans="1:38" ht="32.25" customHeight="1" x14ac:dyDescent="0.3">
      <c r="A722" s="80">
        <v>715</v>
      </c>
      <c r="B722" s="320" t="s">
        <v>196</v>
      </c>
      <c r="C722" s="4" t="s">
        <v>1407</v>
      </c>
      <c r="D722" s="321" t="s">
        <v>1464</v>
      </c>
      <c r="E722" s="122">
        <v>19</v>
      </c>
      <c r="F722" s="122">
        <v>3</v>
      </c>
      <c r="G722" s="122"/>
      <c r="H722" s="84" t="s">
        <v>1558</v>
      </c>
      <c r="I722" s="4" t="s">
        <v>341</v>
      </c>
      <c r="J722" s="4"/>
      <c r="K722" s="4" t="s">
        <v>801</v>
      </c>
      <c r="L722" s="310" t="s">
        <v>1469</v>
      </c>
      <c r="M722" s="132">
        <v>1974</v>
      </c>
      <c r="N722" s="132" t="s">
        <v>216</v>
      </c>
      <c r="O722" s="4">
        <v>9</v>
      </c>
      <c r="P722" s="4"/>
      <c r="Q722" s="23">
        <v>4</v>
      </c>
      <c r="R722" s="23">
        <v>143</v>
      </c>
      <c r="S722" s="23">
        <v>8754.02</v>
      </c>
      <c r="T722" s="23">
        <v>7858.52</v>
      </c>
      <c r="U722" s="23">
        <v>7858.52</v>
      </c>
      <c r="V722" s="4"/>
      <c r="W722" s="311" t="s">
        <v>218</v>
      </c>
      <c r="X722" s="312" t="s">
        <v>218</v>
      </c>
      <c r="Y722" s="122" t="s">
        <v>218</v>
      </c>
      <c r="Z722" s="312" t="s">
        <v>218</v>
      </c>
      <c r="AA722" s="122" t="s">
        <v>218</v>
      </c>
      <c r="AB722" s="313" t="str">
        <f t="shared" si="16"/>
        <v>да</v>
      </c>
      <c r="AC722" s="4" t="s">
        <v>219</v>
      </c>
      <c r="AD722" s="53" t="s">
        <v>218</v>
      </c>
      <c r="AE722" s="53" t="s">
        <v>219</v>
      </c>
      <c r="AF722" s="23">
        <v>4</v>
      </c>
      <c r="AG722" s="23">
        <v>2</v>
      </c>
      <c r="AH722" s="23">
        <v>1</v>
      </c>
      <c r="AI722" s="23">
        <v>1</v>
      </c>
      <c r="AJ722" s="23">
        <v>1</v>
      </c>
      <c r="AK722" s="23">
        <v>0</v>
      </c>
      <c r="AL722" s="4"/>
    </row>
    <row r="723" spans="1:38" ht="32.25" customHeight="1" x14ac:dyDescent="0.3">
      <c r="A723" s="5">
        <v>716</v>
      </c>
      <c r="B723" s="320" t="s">
        <v>196</v>
      </c>
      <c r="C723" s="4" t="s">
        <v>1407</v>
      </c>
      <c r="D723" s="321" t="s">
        <v>1470</v>
      </c>
      <c r="E723" s="122">
        <v>20</v>
      </c>
      <c r="F723" s="122">
        <v>3</v>
      </c>
      <c r="G723" s="122"/>
      <c r="H723" s="84" t="s">
        <v>1559</v>
      </c>
      <c r="I723" s="4" t="s">
        <v>341</v>
      </c>
      <c r="J723" s="4"/>
      <c r="K723" s="4" t="s">
        <v>801</v>
      </c>
      <c r="L723" s="310" t="s">
        <v>1471</v>
      </c>
      <c r="M723" s="132">
        <v>1974</v>
      </c>
      <c r="N723" s="132" t="s">
        <v>216</v>
      </c>
      <c r="O723" s="4">
        <v>9</v>
      </c>
      <c r="P723" s="4"/>
      <c r="Q723" s="23">
        <v>5</v>
      </c>
      <c r="R723" s="23">
        <v>179</v>
      </c>
      <c r="S723" s="23">
        <v>10945.87</v>
      </c>
      <c r="T723" s="23">
        <v>9766.4699999999993</v>
      </c>
      <c r="U723" s="23">
        <v>9766.4699999999993</v>
      </c>
      <c r="V723" s="4"/>
      <c r="W723" s="311" t="s">
        <v>218</v>
      </c>
      <c r="X723" s="312" t="s">
        <v>218</v>
      </c>
      <c r="Y723" s="122" t="s">
        <v>218</v>
      </c>
      <c r="Z723" s="312" t="s">
        <v>218</v>
      </c>
      <c r="AA723" s="122" t="s">
        <v>218</v>
      </c>
      <c r="AB723" s="313" t="str">
        <f t="shared" si="16"/>
        <v>да</v>
      </c>
      <c r="AC723" s="4" t="s">
        <v>219</v>
      </c>
      <c r="AD723" s="53" t="s">
        <v>218</v>
      </c>
      <c r="AE723" s="53" t="s">
        <v>219</v>
      </c>
      <c r="AF723" s="23">
        <v>5</v>
      </c>
      <c r="AG723" s="23">
        <v>2</v>
      </c>
      <c r="AH723" s="23">
        <v>2</v>
      </c>
      <c r="AI723" s="23">
        <v>2</v>
      </c>
      <c r="AJ723" s="23">
        <v>2</v>
      </c>
      <c r="AK723" s="23">
        <v>0</v>
      </c>
      <c r="AL723" s="4"/>
    </row>
    <row r="724" spans="1:38" ht="32.25" customHeight="1" x14ac:dyDescent="0.3">
      <c r="A724" s="80">
        <v>717</v>
      </c>
      <c r="B724" s="320" t="s">
        <v>196</v>
      </c>
      <c r="C724" s="4" t="s">
        <v>1407</v>
      </c>
      <c r="D724" s="321" t="s">
        <v>354</v>
      </c>
      <c r="E724" s="122">
        <v>20</v>
      </c>
      <c r="F724" s="122">
        <v>2</v>
      </c>
      <c r="G724" s="122"/>
      <c r="H724" s="84" t="s">
        <v>1560</v>
      </c>
      <c r="I724" s="4" t="s">
        <v>341</v>
      </c>
      <c r="J724" s="4"/>
      <c r="K724" s="4" t="s">
        <v>801</v>
      </c>
      <c r="L724" s="310" t="s">
        <v>1446</v>
      </c>
      <c r="M724" s="132">
        <v>1974</v>
      </c>
      <c r="N724" s="132" t="s">
        <v>216</v>
      </c>
      <c r="O724" s="4">
        <v>9</v>
      </c>
      <c r="P724" s="4"/>
      <c r="Q724" s="23">
        <v>5</v>
      </c>
      <c r="R724" s="23">
        <v>179</v>
      </c>
      <c r="S724" s="23">
        <v>10823.09</v>
      </c>
      <c r="T724" s="23">
        <v>9730.49</v>
      </c>
      <c r="U724" s="23">
        <v>9730.49</v>
      </c>
      <c r="V724" s="4"/>
      <c r="W724" s="311" t="s">
        <v>218</v>
      </c>
      <c r="X724" s="312" t="s">
        <v>218</v>
      </c>
      <c r="Y724" s="122" t="s">
        <v>218</v>
      </c>
      <c r="Z724" s="312" t="s">
        <v>218</v>
      </c>
      <c r="AA724" s="122" t="s">
        <v>218</v>
      </c>
      <c r="AB724" s="313" t="str">
        <f t="shared" si="16"/>
        <v>да</v>
      </c>
      <c r="AC724" s="4" t="s">
        <v>219</v>
      </c>
      <c r="AD724" s="53" t="s">
        <v>218</v>
      </c>
      <c r="AE724" s="53" t="s">
        <v>219</v>
      </c>
      <c r="AF724" s="23">
        <v>5</v>
      </c>
      <c r="AG724" s="23">
        <v>2</v>
      </c>
      <c r="AH724" s="23">
        <v>2</v>
      </c>
      <c r="AI724" s="23">
        <v>2</v>
      </c>
      <c r="AJ724" s="23">
        <v>2</v>
      </c>
      <c r="AK724" s="23">
        <v>0</v>
      </c>
      <c r="AL724" s="4"/>
    </row>
    <row r="725" spans="1:38" ht="32.25" customHeight="1" x14ac:dyDescent="0.3">
      <c r="A725" s="5">
        <v>718</v>
      </c>
      <c r="B725" s="320" t="s">
        <v>196</v>
      </c>
      <c r="C725" s="4" t="s">
        <v>1407</v>
      </c>
      <c r="D725" s="321" t="s">
        <v>354</v>
      </c>
      <c r="E725" s="122">
        <v>20</v>
      </c>
      <c r="F725" s="122">
        <v>4</v>
      </c>
      <c r="G725" s="122"/>
      <c r="H725" s="84" t="s">
        <v>1561</v>
      </c>
      <c r="I725" s="4" t="s">
        <v>341</v>
      </c>
      <c r="J725" s="4"/>
      <c r="K725" s="4" t="s">
        <v>801</v>
      </c>
      <c r="L725" s="310" t="s">
        <v>1446</v>
      </c>
      <c r="M725" s="132">
        <v>1974</v>
      </c>
      <c r="N725" s="132" t="s">
        <v>216</v>
      </c>
      <c r="O725" s="4">
        <v>9</v>
      </c>
      <c r="P725" s="4"/>
      <c r="Q725" s="23">
        <v>5</v>
      </c>
      <c r="R725" s="23">
        <v>179</v>
      </c>
      <c r="S725" s="23">
        <v>11010.45</v>
      </c>
      <c r="T725" s="23">
        <v>9737.9500000000007</v>
      </c>
      <c r="U725" s="23">
        <v>9737.9500000000007</v>
      </c>
      <c r="V725" s="4"/>
      <c r="W725" s="311" t="s">
        <v>218</v>
      </c>
      <c r="X725" s="312" t="s">
        <v>218</v>
      </c>
      <c r="Y725" s="122" t="s">
        <v>218</v>
      </c>
      <c r="Z725" s="312" t="s">
        <v>218</v>
      </c>
      <c r="AA725" s="122" t="s">
        <v>218</v>
      </c>
      <c r="AB725" s="313" t="str">
        <f t="shared" si="16"/>
        <v>да</v>
      </c>
      <c r="AC725" s="4" t="s">
        <v>219</v>
      </c>
      <c r="AD725" s="53" t="s">
        <v>218</v>
      </c>
      <c r="AE725" s="53" t="s">
        <v>219</v>
      </c>
      <c r="AF725" s="23">
        <v>5</v>
      </c>
      <c r="AG725" s="23">
        <v>2</v>
      </c>
      <c r="AH725" s="23">
        <v>2</v>
      </c>
      <c r="AI725" s="23">
        <v>2</v>
      </c>
      <c r="AJ725" s="23">
        <v>2</v>
      </c>
      <c r="AK725" s="23">
        <v>0</v>
      </c>
      <c r="AL725" s="4"/>
    </row>
    <row r="726" spans="1:38" ht="32.25" customHeight="1" x14ac:dyDescent="0.3">
      <c r="A726" s="80">
        <v>719</v>
      </c>
      <c r="B726" s="320" t="s">
        <v>196</v>
      </c>
      <c r="C726" s="4" t="s">
        <v>1407</v>
      </c>
      <c r="D726" s="321" t="s">
        <v>1470</v>
      </c>
      <c r="E726" s="122">
        <v>29</v>
      </c>
      <c r="F726" s="122">
        <v>1</v>
      </c>
      <c r="G726" s="122"/>
      <c r="H726" s="84" t="s">
        <v>1562</v>
      </c>
      <c r="I726" s="4" t="s">
        <v>341</v>
      </c>
      <c r="J726" s="4"/>
      <c r="K726" s="4" t="s">
        <v>801</v>
      </c>
      <c r="L726" s="310" t="s">
        <v>1472</v>
      </c>
      <c r="M726" s="132">
        <v>1975</v>
      </c>
      <c r="N726" s="132" t="s">
        <v>216</v>
      </c>
      <c r="O726" s="4">
        <v>9</v>
      </c>
      <c r="P726" s="4"/>
      <c r="Q726" s="23">
        <v>4</v>
      </c>
      <c r="R726" s="23">
        <v>143</v>
      </c>
      <c r="S726" s="23">
        <v>7373.34</v>
      </c>
      <c r="T726" s="23">
        <v>6654.34</v>
      </c>
      <c r="U726" s="23">
        <v>6654.34</v>
      </c>
      <c r="V726" s="4"/>
      <c r="W726" s="311" t="s">
        <v>218</v>
      </c>
      <c r="X726" s="312" t="s">
        <v>218</v>
      </c>
      <c r="Y726" s="122" t="s">
        <v>218</v>
      </c>
      <c r="Z726" s="312" t="s">
        <v>218</v>
      </c>
      <c r="AA726" s="122" t="s">
        <v>218</v>
      </c>
      <c r="AB726" s="313" t="str">
        <f t="shared" si="16"/>
        <v>да</v>
      </c>
      <c r="AC726" s="4" t="s">
        <v>219</v>
      </c>
      <c r="AD726" s="53" t="s">
        <v>218</v>
      </c>
      <c r="AE726" s="53" t="s">
        <v>219</v>
      </c>
      <c r="AF726" s="23">
        <v>4</v>
      </c>
      <c r="AG726" s="23">
        <v>2</v>
      </c>
      <c r="AH726" s="23">
        <v>1</v>
      </c>
      <c r="AI726" s="23">
        <v>1</v>
      </c>
      <c r="AJ726" s="23">
        <v>1</v>
      </c>
      <c r="AK726" s="23">
        <v>0</v>
      </c>
      <c r="AL726" s="4"/>
    </row>
    <row r="727" spans="1:38" ht="32.25" customHeight="1" x14ac:dyDescent="0.3">
      <c r="A727" s="5">
        <v>720</v>
      </c>
      <c r="B727" s="320" t="s">
        <v>196</v>
      </c>
      <c r="C727" s="4" t="s">
        <v>1407</v>
      </c>
      <c r="D727" s="321" t="s">
        <v>1470</v>
      </c>
      <c r="E727" s="122">
        <v>30</v>
      </c>
      <c r="F727" s="122">
        <v>3</v>
      </c>
      <c r="G727" s="122"/>
      <c r="H727" s="84" t="s">
        <v>1563</v>
      </c>
      <c r="I727" s="4" t="s">
        <v>341</v>
      </c>
      <c r="J727" s="4"/>
      <c r="K727" s="4" t="s">
        <v>801</v>
      </c>
      <c r="L727" s="310" t="s">
        <v>1472</v>
      </c>
      <c r="M727" s="132">
        <v>1977</v>
      </c>
      <c r="N727" s="132" t="s">
        <v>1410</v>
      </c>
      <c r="O727" s="4">
        <v>15</v>
      </c>
      <c r="P727" s="4"/>
      <c r="Q727" s="23">
        <v>2</v>
      </c>
      <c r="R727" s="23">
        <v>13</v>
      </c>
      <c r="S727" s="23">
        <v>7095.5</v>
      </c>
      <c r="T727" s="23">
        <v>6404.7</v>
      </c>
      <c r="U727" s="23">
        <v>4937</v>
      </c>
      <c r="V727" s="4">
        <v>1467.7</v>
      </c>
      <c r="W727" s="311" t="s">
        <v>218</v>
      </c>
      <c r="X727" s="312" t="s">
        <v>218</v>
      </c>
      <c r="Y727" s="122" t="s">
        <v>218</v>
      </c>
      <c r="Z727" s="312" t="s">
        <v>218</v>
      </c>
      <c r="AA727" s="122" t="s">
        <v>218</v>
      </c>
      <c r="AB727" s="313" t="str">
        <f t="shared" si="16"/>
        <v>нет</v>
      </c>
      <c r="AC727" s="4" t="s">
        <v>219</v>
      </c>
      <c r="AD727" s="53" t="s">
        <v>219</v>
      </c>
      <c r="AE727" s="53" t="s">
        <v>218</v>
      </c>
      <c r="AF727" s="23">
        <v>2</v>
      </c>
      <c r="AG727" s="23">
        <v>4</v>
      </c>
      <c r="AH727" s="23">
        <v>3</v>
      </c>
      <c r="AI727" s="23">
        <v>1</v>
      </c>
      <c r="AJ727" s="23">
        <v>1</v>
      </c>
      <c r="AK727" s="23">
        <v>0</v>
      </c>
      <c r="AL727" s="4"/>
    </row>
    <row r="728" spans="1:38" ht="32.25" customHeight="1" x14ac:dyDescent="0.3">
      <c r="A728" s="80">
        <v>721</v>
      </c>
      <c r="B728" s="320" t="s">
        <v>196</v>
      </c>
      <c r="C728" s="4" t="s">
        <v>1407</v>
      </c>
      <c r="D728" s="321" t="s">
        <v>1473</v>
      </c>
      <c r="E728" s="122">
        <v>4</v>
      </c>
      <c r="F728" s="122">
        <v>3</v>
      </c>
      <c r="G728" s="122"/>
      <c r="H728" s="84" t="s">
        <v>1564</v>
      </c>
      <c r="I728" s="4" t="s">
        <v>341</v>
      </c>
      <c r="J728" s="4"/>
      <c r="K728" s="4" t="s">
        <v>801</v>
      </c>
      <c r="L728" s="310" t="s">
        <v>413</v>
      </c>
      <c r="M728" s="132">
        <v>1977</v>
      </c>
      <c r="N728" s="132" t="s">
        <v>1410</v>
      </c>
      <c r="O728" s="4">
        <v>14</v>
      </c>
      <c r="P728" s="4"/>
      <c r="Q728" s="23">
        <v>1</v>
      </c>
      <c r="R728" s="23">
        <v>97</v>
      </c>
      <c r="S728" s="23">
        <v>5721.6</v>
      </c>
      <c r="T728" s="23">
        <v>4787.1000000000004</v>
      </c>
      <c r="U728" s="23">
        <v>4705.1000000000004</v>
      </c>
      <c r="V728" s="4">
        <v>82</v>
      </c>
      <c r="W728" s="311" t="s">
        <v>218</v>
      </c>
      <c r="X728" s="312" t="s">
        <v>218</v>
      </c>
      <c r="Y728" s="122" t="s">
        <v>218</v>
      </c>
      <c r="Z728" s="312" t="s">
        <v>218</v>
      </c>
      <c r="AA728" s="122" t="s">
        <v>218</v>
      </c>
      <c r="AB728" s="313" t="str">
        <f t="shared" si="16"/>
        <v>нет</v>
      </c>
      <c r="AC728" s="4" t="s">
        <v>219</v>
      </c>
      <c r="AD728" s="53" t="s">
        <v>219</v>
      </c>
      <c r="AE728" s="53" t="s">
        <v>218</v>
      </c>
      <c r="AF728" s="23">
        <v>2</v>
      </c>
      <c r="AG728" s="23">
        <v>2</v>
      </c>
      <c r="AH728" s="23">
        <v>3</v>
      </c>
      <c r="AI728" s="23">
        <v>1</v>
      </c>
      <c r="AJ728" s="23">
        <v>1</v>
      </c>
      <c r="AK728" s="23">
        <v>0</v>
      </c>
      <c r="AL728" s="4"/>
    </row>
    <row r="729" spans="1:38" ht="32.25" customHeight="1" x14ac:dyDescent="0.3">
      <c r="A729" s="5">
        <v>722</v>
      </c>
      <c r="B729" s="320" t="s">
        <v>196</v>
      </c>
      <c r="C729" s="4" t="s">
        <v>1407</v>
      </c>
      <c r="D729" s="321" t="s">
        <v>1474</v>
      </c>
      <c r="E729" s="122">
        <v>6</v>
      </c>
      <c r="F729" s="122">
        <v>1</v>
      </c>
      <c r="G729" s="122"/>
      <c r="H729" s="84" t="s">
        <v>1565</v>
      </c>
      <c r="I729" s="4" t="s">
        <v>341</v>
      </c>
      <c r="J729" s="4"/>
      <c r="K729" s="4" t="s">
        <v>801</v>
      </c>
      <c r="L729" s="310"/>
      <c r="M729" s="132">
        <v>1973</v>
      </c>
      <c r="N729" s="132" t="s">
        <v>216</v>
      </c>
      <c r="O729" s="4">
        <v>9</v>
      </c>
      <c r="P729" s="4"/>
      <c r="Q729" s="23">
        <v>5</v>
      </c>
      <c r="R729" s="23">
        <v>179</v>
      </c>
      <c r="S729" s="23">
        <v>11051.12</v>
      </c>
      <c r="T729" s="23">
        <v>9869.52</v>
      </c>
      <c r="U729" s="23">
        <v>9869.52</v>
      </c>
      <c r="V729" s="4"/>
      <c r="W729" s="311" t="s">
        <v>218</v>
      </c>
      <c r="X729" s="312" t="s">
        <v>218</v>
      </c>
      <c r="Y729" s="122" t="s">
        <v>218</v>
      </c>
      <c r="Z729" s="312" t="s">
        <v>218</v>
      </c>
      <c r="AA729" s="122" t="s">
        <v>218</v>
      </c>
      <c r="AB729" s="313" t="str">
        <f t="shared" si="16"/>
        <v>да</v>
      </c>
      <c r="AC729" s="4" t="s">
        <v>219</v>
      </c>
      <c r="AD729" s="53" t="s">
        <v>218</v>
      </c>
      <c r="AE729" s="53" t="s">
        <v>219</v>
      </c>
      <c r="AF729" s="23">
        <v>5</v>
      </c>
      <c r="AG729" s="23">
        <v>1</v>
      </c>
      <c r="AH729" s="23">
        <v>1</v>
      </c>
      <c r="AI729" s="23">
        <v>2</v>
      </c>
      <c r="AJ729" s="23">
        <v>2</v>
      </c>
      <c r="AK729" s="23">
        <v>0</v>
      </c>
      <c r="AL729" s="4"/>
    </row>
    <row r="730" spans="1:38" ht="32.25" customHeight="1" x14ac:dyDescent="0.3">
      <c r="A730" s="80">
        <v>723</v>
      </c>
      <c r="B730" s="320" t="s">
        <v>196</v>
      </c>
      <c r="C730" s="4" t="s">
        <v>1407</v>
      </c>
      <c r="D730" s="321" t="s">
        <v>1475</v>
      </c>
      <c r="E730" s="122">
        <v>12</v>
      </c>
      <c r="F730" s="122">
        <v>1</v>
      </c>
      <c r="G730" s="122"/>
      <c r="H730" s="84" t="s">
        <v>1566</v>
      </c>
      <c r="I730" s="4" t="s">
        <v>341</v>
      </c>
      <c r="J730" s="4"/>
      <c r="K730" s="4" t="s">
        <v>801</v>
      </c>
      <c r="L730" s="310"/>
      <c r="M730" s="132">
        <v>1973</v>
      </c>
      <c r="N730" s="132" t="s">
        <v>216</v>
      </c>
      <c r="O730" s="4">
        <v>9</v>
      </c>
      <c r="P730" s="4"/>
      <c r="Q730" s="23">
        <v>5</v>
      </c>
      <c r="R730" s="23">
        <v>179</v>
      </c>
      <c r="S730" s="23">
        <v>10911.74</v>
      </c>
      <c r="T730" s="23">
        <v>9853.74</v>
      </c>
      <c r="U730" s="23">
        <v>9853.74</v>
      </c>
      <c r="V730" s="4"/>
      <c r="W730" s="311" t="s">
        <v>218</v>
      </c>
      <c r="X730" s="312" t="s">
        <v>218</v>
      </c>
      <c r="Y730" s="122" t="s">
        <v>218</v>
      </c>
      <c r="Z730" s="312" t="s">
        <v>218</v>
      </c>
      <c r="AA730" s="122" t="s">
        <v>218</v>
      </c>
      <c r="AB730" s="313" t="str">
        <f t="shared" si="16"/>
        <v>да</v>
      </c>
      <c r="AC730" s="4" t="s">
        <v>219</v>
      </c>
      <c r="AD730" s="53" t="s">
        <v>218</v>
      </c>
      <c r="AE730" s="53" t="s">
        <v>219</v>
      </c>
      <c r="AF730" s="23">
        <v>5</v>
      </c>
      <c r="AG730" s="23">
        <v>2</v>
      </c>
      <c r="AH730" s="23">
        <v>2</v>
      </c>
      <c r="AI730" s="23">
        <v>2</v>
      </c>
      <c r="AJ730" s="23">
        <v>2</v>
      </c>
      <c r="AK730" s="23">
        <v>0</v>
      </c>
      <c r="AL730" s="4"/>
    </row>
    <row r="731" spans="1:38" ht="32.25" customHeight="1" x14ac:dyDescent="0.3">
      <c r="A731" s="5">
        <v>724</v>
      </c>
      <c r="B731" s="320" t="s">
        <v>196</v>
      </c>
      <c r="C731" s="4" t="s">
        <v>1407</v>
      </c>
      <c r="D731" s="321" t="s">
        <v>1476</v>
      </c>
      <c r="E731" s="122">
        <v>32</v>
      </c>
      <c r="F731" s="122"/>
      <c r="G731" s="122"/>
      <c r="H731" s="84" t="s">
        <v>1567</v>
      </c>
      <c r="I731" s="4" t="s">
        <v>341</v>
      </c>
      <c r="J731" s="4"/>
      <c r="K731" s="4" t="s">
        <v>801</v>
      </c>
      <c r="L731" s="310" t="s">
        <v>1477</v>
      </c>
      <c r="M731" s="132">
        <v>1980</v>
      </c>
      <c r="N731" s="132" t="s">
        <v>216</v>
      </c>
      <c r="O731" s="4">
        <v>14</v>
      </c>
      <c r="P731" s="4"/>
      <c r="Q731" s="23">
        <v>4</v>
      </c>
      <c r="R731" s="23">
        <v>276</v>
      </c>
      <c r="S731" s="23">
        <v>18584.900000000001</v>
      </c>
      <c r="T731" s="23">
        <v>15572.9</v>
      </c>
      <c r="U731" s="23">
        <v>15572.9</v>
      </c>
      <c r="V731" s="4"/>
      <c r="W731" s="311" t="s">
        <v>218</v>
      </c>
      <c r="X731" s="312" t="s">
        <v>218</v>
      </c>
      <c r="Y731" s="122" t="s">
        <v>218</v>
      </c>
      <c r="Z731" s="312" t="s">
        <v>218</v>
      </c>
      <c r="AA731" s="122" t="s">
        <v>218</v>
      </c>
      <c r="AB731" s="313" t="str">
        <f t="shared" si="16"/>
        <v>нет</v>
      </c>
      <c r="AC731" s="4" t="s">
        <v>219</v>
      </c>
      <c r="AD731" s="53" t="s">
        <v>219</v>
      </c>
      <c r="AE731" s="53" t="s">
        <v>218</v>
      </c>
      <c r="AF731" s="23">
        <v>8</v>
      </c>
      <c r="AG731" s="23">
        <v>2</v>
      </c>
      <c r="AH731" s="23">
        <v>3</v>
      </c>
      <c r="AI731" s="23">
        <v>1</v>
      </c>
      <c r="AJ731" s="23">
        <v>2</v>
      </c>
      <c r="AK731" s="23">
        <v>0</v>
      </c>
      <c r="AL731" s="4"/>
    </row>
    <row r="732" spans="1:38" ht="32.25" customHeight="1" x14ac:dyDescent="0.3">
      <c r="A732" s="80">
        <v>725</v>
      </c>
      <c r="B732" s="320" t="s">
        <v>196</v>
      </c>
      <c r="C732" s="4" t="s">
        <v>1407</v>
      </c>
      <c r="D732" s="321" t="s">
        <v>1476</v>
      </c>
      <c r="E732" s="122">
        <v>34</v>
      </c>
      <c r="F732" s="122">
        <v>1</v>
      </c>
      <c r="G732" s="122"/>
      <c r="H732" s="84" t="s">
        <v>1568</v>
      </c>
      <c r="I732" s="4" t="s">
        <v>341</v>
      </c>
      <c r="J732" s="4"/>
      <c r="K732" s="4" t="s">
        <v>801</v>
      </c>
      <c r="L732" s="310" t="s">
        <v>1477</v>
      </c>
      <c r="M732" s="132">
        <v>1980</v>
      </c>
      <c r="N732" s="132" t="s">
        <v>216</v>
      </c>
      <c r="O732" s="4">
        <v>14</v>
      </c>
      <c r="P732" s="4"/>
      <c r="Q732" s="23">
        <v>4</v>
      </c>
      <c r="R732" s="23">
        <v>276</v>
      </c>
      <c r="S732" s="23">
        <v>18503.439999999999</v>
      </c>
      <c r="T732" s="23">
        <v>15504.94</v>
      </c>
      <c r="U732" s="23">
        <v>15482.54</v>
      </c>
      <c r="V732" s="4">
        <v>22.4</v>
      </c>
      <c r="W732" s="311" t="s">
        <v>218</v>
      </c>
      <c r="X732" s="312" t="s">
        <v>218</v>
      </c>
      <c r="Y732" s="122" t="s">
        <v>218</v>
      </c>
      <c r="Z732" s="312" t="s">
        <v>218</v>
      </c>
      <c r="AA732" s="122" t="s">
        <v>218</v>
      </c>
      <c r="AB732" s="313" t="str">
        <f t="shared" si="16"/>
        <v>нет</v>
      </c>
      <c r="AC732" s="4" t="s">
        <v>219</v>
      </c>
      <c r="AD732" s="53" t="s">
        <v>219</v>
      </c>
      <c r="AE732" s="53" t="s">
        <v>218</v>
      </c>
      <c r="AF732" s="23">
        <v>8</v>
      </c>
      <c r="AG732" s="23">
        <v>2</v>
      </c>
      <c r="AH732" s="23">
        <v>3</v>
      </c>
      <c r="AI732" s="23">
        <v>1</v>
      </c>
      <c r="AJ732" s="23">
        <v>3</v>
      </c>
      <c r="AK732" s="23">
        <v>0</v>
      </c>
      <c r="AL732" s="4"/>
    </row>
    <row r="733" spans="1:38" ht="32.25" customHeight="1" x14ac:dyDescent="0.3">
      <c r="A733" s="5">
        <v>726</v>
      </c>
      <c r="B733" s="320" t="s">
        <v>196</v>
      </c>
      <c r="C733" s="4" t="s">
        <v>1407</v>
      </c>
      <c r="D733" s="321" t="s">
        <v>1476</v>
      </c>
      <c r="E733" s="122">
        <v>38</v>
      </c>
      <c r="F733" s="122"/>
      <c r="G733" s="122"/>
      <c r="H733" s="84" t="s">
        <v>1569</v>
      </c>
      <c r="I733" s="4" t="s">
        <v>341</v>
      </c>
      <c r="J733" s="4"/>
      <c r="K733" s="4" t="s">
        <v>801</v>
      </c>
      <c r="L733" s="310" t="s">
        <v>1477</v>
      </c>
      <c r="M733" s="132">
        <v>1976</v>
      </c>
      <c r="N733" s="132" t="s">
        <v>216</v>
      </c>
      <c r="O733" s="4">
        <v>9</v>
      </c>
      <c r="P733" s="4"/>
      <c r="Q733" s="23">
        <v>5</v>
      </c>
      <c r="R733" s="23">
        <v>180</v>
      </c>
      <c r="S733" s="23">
        <v>10938.24</v>
      </c>
      <c r="T733" s="23">
        <v>10153.64</v>
      </c>
      <c r="U733" s="23">
        <v>10153.64</v>
      </c>
      <c r="V733" s="4"/>
      <c r="W733" s="311" t="s">
        <v>218</v>
      </c>
      <c r="X733" s="312" t="s">
        <v>218</v>
      </c>
      <c r="Y733" s="122" t="s">
        <v>218</v>
      </c>
      <c r="Z733" s="312" t="s">
        <v>218</v>
      </c>
      <c r="AA733" s="122" t="s">
        <v>218</v>
      </c>
      <c r="AB733" s="313" t="str">
        <f t="shared" si="16"/>
        <v>да</v>
      </c>
      <c r="AC733" s="4" t="s">
        <v>219</v>
      </c>
      <c r="AD733" s="53" t="s">
        <v>218</v>
      </c>
      <c r="AE733" s="53" t="s">
        <v>219</v>
      </c>
      <c r="AF733" s="23">
        <v>5</v>
      </c>
      <c r="AG733" s="23">
        <v>2</v>
      </c>
      <c r="AH733" s="23">
        <v>2</v>
      </c>
      <c r="AI733" s="23">
        <v>1</v>
      </c>
      <c r="AJ733" s="23">
        <v>1</v>
      </c>
      <c r="AK733" s="23">
        <v>0</v>
      </c>
      <c r="AL733" s="4"/>
    </row>
    <row r="734" spans="1:38" ht="32.25" customHeight="1" x14ac:dyDescent="0.3">
      <c r="A734" s="80">
        <v>727</v>
      </c>
      <c r="B734" s="320" t="s">
        <v>196</v>
      </c>
      <c r="C734" s="4" t="s">
        <v>1407</v>
      </c>
      <c r="D734" s="321" t="s">
        <v>1476</v>
      </c>
      <c r="E734" s="122">
        <v>46</v>
      </c>
      <c r="F734" s="122"/>
      <c r="G734" s="122"/>
      <c r="H734" s="84" t="s">
        <v>1570</v>
      </c>
      <c r="I734" s="4" t="s">
        <v>341</v>
      </c>
      <c r="J734" s="4"/>
      <c r="K734" s="4" t="s">
        <v>801</v>
      </c>
      <c r="L734" s="310" t="s">
        <v>1428</v>
      </c>
      <c r="M734" s="132">
        <v>1977</v>
      </c>
      <c r="N734" s="132" t="s">
        <v>216</v>
      </c>
      <c r="O734" s="4">
        <v>9</v>
      </c>
      <c r="P734" s="4"/>
      <c r="Q734" s="23">
        <v>5</v>
      </c>
      <c r="R734" s="23">
        <v>198</v>
      </c>
      <c r="S734" s="23">
        <v>11760.4</v>
      </c>
      <c r="T734" s="23">
        <v>10900.4</v>
      </c>
      <c r="U734" s="23">
        <v>10900.4</v>
      </c>
      <c r="V734" s="4"/>
      <c r="W734" s="311" t="s">
        <v>218</v>
      </c>
      <c r="X734" s="312" t="s">
        <v>218</v>
      </c>
      <c r="Y734" s="122" t="s">
        <v>218</v>
      </c>
      <c r="Z734" s="312" t="s">
        <v>218</v>
      </c>
      <c r="AA734" s="122" t="s">
        <v>218</v>
      </c>
      <c r="AB734" s="313" t="str">
        <f t="shared" si="16"/>
        <v>да</v>
      </c>
      <c r="AC734" s="4" t="s">
        <v>219</v>
      </c>
      <c r="AD734" s="53" t="s">
        <v>218</v>
      </c>
      <c r="AE734" s="53" t="s">
        <v>219</v>
      </c>
      <c r="AF734" s="23">
        <v>5</v>
      </c>
      <c r="AG734" s="23">
        <v>4</v>
      </c>
      <c r="AH734" s="23">
        <v>1</v>
      </c>
      <c r="AI734" s="23">
        <v>2</v>
      </c>
      <c r="AJ734" s="23">
        <v>2</v>
      </c>
      <c r="AK734" s="23">
        <v>0</v>
      </c>
      <c r="AL734" s="4"/>
    </row>
    <row r="735" spans="1:38" ht="32.25" customHeight="1" x14ac:dyDescent="0.3">
      <c r="A735" s="5">
        <v>728</v>
      </c>
      <c r="B735" s="320" t="s">
        <v>196</v>
      </c>
      <c r="C735" s="4" t="s">
        <v>1407</v>
      </c>
      <c r="D735" s="321" t="s">
        <v>1478</v>
      </c>
      <c r="E735" s="122">
        <v>19</v>
      </c>
      <c r="F735" s="122">
        <v>1</v>
      </c>
      <c r="G735" s="122"/>
      <c r="H735" s="84" t="s">
        <v>1571</v>
      </c>
      <c r="I735" s="4" t="s">
        <v>341</v>
      </c>
      <c r="J735" s="4"/>
      <c r="K735" s="4" t="s">
        <v>801</v>
      </c>
      <c r="L735" s="310" t="s">
        <v>1428</v>
      </c>
      <c r="M735" s="132">
        <v>1976</v>
      </c>
      <c r="N735" s="132" t="s">
        <v>216</v>
      </c>
      <c r="O735" s="4">
        <v>9</v>
      </c>
      <c r="P735" s="4"/>
      <c r="Q735" s="23">
        <v>16</v>
      </c>
      <c r="R735" s="23">
        <v>598</v>
      </c>
      <c r="S735" s="23">
        <v>36124.629999999997</v>
      </c>
      <c r="T735" s="23">
        <v>33210.53</v>
      </c>
      <c r="U735" s="23">
        <v>33006.03</v>
      </c>
      <c r="V735" s="4">
        <v>204.5</v>
      </c>
      <c r="W735" s="311" t="s">
        <v>218</v>
      </c>
      <c r="X735" s="312" t="s">
        <v>218</v>
      </c>
      <c r="Y735" s="122" t="s">
        <v>218</v>
      </c>
      <c r="Z735" s="312" t="s">
        <v>218</v>
      </c>
      <c r="AA735" s="122" t="s">
        <v>218</v>
      </c>
      <c r="AB735" s="313" t="str">
        <f t="shared" si="16"/>
        <v>да</v>
      </c>
      <c r="AC735" s="4" t="s">
        <v>219</v>
      </c>
      <c r="AD735" s="53" t="s">
        <v>218</v>
      </c>
      <c r="AE735" s="53" t="s">
        <v>219</v>
      </c>
      <c r="AF735" s="23">
        <v>15</v>
      </c>
      <c r="AG735" s="23">
        <v>4</v>
      </c>
      <c r="AH735" s="23">
        <v>1</v>
      </c>
      <c r="AI735" s="23">
        <v>5</v>
      </c>
      <c r="AJ735" s="23">
        <v>5</v>
      </c>
      <c r="AK735" s="23">
        <v>0</v>
      </c>
      <c r="AL735" s="4"/>
    </row>
    <row r="736" spans="1:38" ht="32.25" customHeight="1" x14ac:dyDescent="0.3">
      <c r="A736" s="80">
        <v>729</v>
      </c>
      <c r="B736" s="320" t="s">
        <v>196</v>
      </c>
      <c r="C736" s="4" t="s">
        <v>1407</v>
      </c>
      <c r="D736" s="321" t="s">
        <v>1479</v>
      </c>
      <c r="E736" s="122">
        <v>19</v>
      </c>
      <c r="F736" s="122">
        <v>5</v>
      </c>
      <c r="G736" s="122"/>
      <c r="H736" s="84" t="s">
        <v>1572</v>
      </c>
      <c r="I736" s="4" t="s">
        <v>341</v>
      </c>
      <c r="J736" s="4"/>
      <c r="K736" s="4" t="s">
        <v>801</v>
      </c>
      <c r="L736" s="310" t="s">
        <v>1480</v>
      </c>
      <c r="M736" s="132">
        <v>1977</v>
      </c>
      <c r="N736" s="132" t="s">
        <v>216</v>
      </c>
      <c r="O736" s="4">
        <v>9</v>
      </c>
      <c r="P736" s="4"/>
      <c r="Q736" s="23">
        <v>6</v>
      </c>
      <c r="R736" s="23">
        <v>215</v>
      </c>
      <c r="S736" s="23">
        <v>10549.45</v>
      </c>
      <c r="T736" s="23">
        <v>9820.0499999999993</v>
      </c>
      <c r="U736" s="23">
        <v>9820.0499999999993</v>
      </c>
      <c r="V736" s="4"/>
      <c r="W736" s="311" t="s">
        <v>218</v>
      </c>
      <c r="X736" s="312" t="s">
        <v>218</v>
      </c>
      <c r="Y736" s="122" t="s">
        <v>218</v>
      </c>
      <c r="Z736" s="312" t="s">
        <v>218</v>
      </c>
      <c r="AA736" s="122" t="s">
        <v>218</v>
      </c>
      <c r="AB736" s="313" t="str">
        <f t="shared" si="16"/>
        <v>да</v>
      </c>
      <c r="AC736" s="4" t="s">
        <v>219</v>
      </c>
      <c r="AD736" s="53" t="s">
        <v>218</v>
      </c>
      <c r="AE736" s="53" t="s">
        <v>219</v>
      </c>
      <c r="AF736" s="23">
        <v>6</v>
      </c>
      <c r="AG736" s="23">
        <v>2</v>
      </c>
      <c r="AH736" s="23">
        <v>2</v>
      </c>
      <c r="AI736" s="23">
        <v>1</v>
      </c>
      <c r="AJ736" s="23">
        <v>1</v>
      </c>
      <c r="AK736" s="23">
        <v>0</v>
      </c>
      <c r="AL736" s="4"/>
    </row>
    <row r="737" spans="1:38" ht="32.25" customHeight="1" x14ac:dyDescent="0.3">
      <c r="A737" s="5">
        <v>730</v>
      </c>
      <c r="B737" s="320" t="s">
        <v>196</v>
      </c>
      <c r="C737" s="4" t="s">
        <v>1407</v>
      </c>
      <c r="D737" s="321" t="s">
        <v>244</v>
      </c>
      <c r="E737" s="323" t="s">
        <v>1481</v>
      </c>
      <c r="F737" s="122"/>
      <c r="G737" s="122"/>
      <c r="H737" s="84" t="s">
        <v>1573</v>
      </c>
      <c r="I737" s="4" t="s">
        <v>341</v>
      </c>
      <c r="J737" s="4"/>
      <c r="K737" s="4" t="s">
        <v>801</v>
      </c>
      <c r="L737" s="310" t="s">
        <v>1482</v>
      </c>
      <c r="M737" s="132">
        <v>1984</v>
      </c>
      <c r="N737" s="132" t="s">
        <v>216</v>
      </c>
      <c r="O737" s="4">
        <v>16</v>
      </c>
      <c r="P737" s="4"/>
      <c r="Q737" s="23">
        <v>1</v>
      </c>
      <c r="R737" s="23">
        <v>110</v>
      </c>
      <c r="S737" s="23">
        <v>7046.7</v>
      </c>
      <c r="T737" s="23">
        <v>5994.2</v>
      </c>
      <c r="U737" s="23">
        <v>5681.3</v>
      </c>
      <c r="V737" s="4">
        <v>312.89999999999998</v>
      </c>
      <c r="W737" s="311" t="s">
        <v>218</v>
      </c>
      <c r="X737" s="312" t="s">
        <v>218</v>
      </c>
      <c r="Y737" s="122" t="s">
        <v>218</v>
      </c>
      <c r="Z737" s="312" t="s">
        <v>218</v>
      </c>
      <c r="AA737" s="122" t="s">
        <v>218</v>
      </c>
      <c r="AB737" s="313" t="str">
        <f t="shared" si="16"/>
        <v>нет</v>
      </c>
      <c r="AC737" s="4" t="s">
        <v>219</v>
      </c>
      <c r="AD737" s="53" t="s">
        <v>219</v>
      </c>
      <c r="AE737" s="53" t="s">
        <v>218</v>
      </c>
      <c r="AF737" s="23">
        <v>2</v>
      </c>
      <c r="AG737" s="23">
        <v>2</v>
      </c>
      <c r="AH737" s="23">
        <v>4</v>
      </c>
      <c r="AI737" s="23">
        <v>1</v>
      </c>
      <c r="AJ737" s="23">
        <v>1</v>
      </c>
      <c r="AK737" s="23">
        <v>0</v>
      </c>
      <c r="AL737" s="4"/>
    </row>
    <row r="738" spans="1:38" ht="32.25" customHeight="1" x14ac:dyDescent="0.3">
      <c r="A738" s="80">
        <v>731</v>
      </c>
      <c r="B738" s="320" t="s">
        <v>196</v>
      </c>
      <c r="C738" s="4" t="s">
        <v>1407</v>
      </c>
      <c r="D738" s="321" t="s">
        <v>244</v>
      </c>
      <c r="E738" s="122">
        <v>2</v>
      </c>
      <c r="F738" s="122"/>
      <c r="G738" s="122"/>
      <c r="H738" s="84" t="s">
        <v>1574</v>
      </c>
      <c r="I738" s="4" t="s">
        <v>341</v>
      </c>
      <c r="J738" s="4"/>
      <c r="K738" s="4" t="s">
        <v>801</v>
      </c>
      <c r="L738" s="310" t="s">
        <v>1483</v>
      </c>
      <c r="M738" s="132">
        <v>1973</v>
      </c>
      <c r="N738" s="132" t="s">
        <v>216</v>
      </c>
      <c r="O738" s="4">
        <v>9</v>
      </c>
      <c r="P738" s="4"/>
      <c r="Q738" s="23">
        <v>12</v>
      </c>
      <c r="R738" s="23">
        <v>457</v>
      </c>
      <c r="S738" s="23">
        <v>27232</v>
      </c>
      <c r="T738" s="23">
        <v>24911.9</v>
      </c>
      <c r="U738" s="23">
        <v>24911.9</v>
      </c>
      <c r="V738" s="4"/>
      <c r="W738" s="311" t="s">
        <v>218</v>
      </c>
      <c r="X738" s="312" t="s">
        <v>218</v>
      </c>
      <c r="Y738" s="122" t="s">
        <v>218</v>
      </c>
      <c r="Z738" s="312" t="s">
        <v>218</v>
      </c>
      <c r="AA738" s="122" t="s">
        <v>218</v>
      </c>
      <c r="AB738" s="313" t="str">
        <f t="shared" si="16"/>
        <v>да</v>
      </c>
      <c r="AC738" s="4" t="s">
        <v>219</v>
      </c>
      <c r="AD738" s="53" t="s">
        <v>218</v>
      </c>
      <c r="AE738" s="53" t="s">
        <v>219</v>
      </c>
      <c r="AF738" s="23">
        <v>12</v>
      </c>
      <c r="AG738" s="23">
        <v>4</v>
      </c>
      <c r="AH738" s="23">
        <v>3</v>
      </c>
      <c r="AI738" s="23">
        <v>3</v>
      </c>
      <c r="AJ738" s="23">
        <v>3</v>
      </c>
      <c r="AK738" s="23">
        <v>0</v>
      </c>
      <c r="AL738" s="4"/>
    </row>
    <row r="739" spans="1:38" ht="32.25" customHeight="1" x14ac:dyDescent="0.3">
      <c r="A739" s="5">
        <v>732</v>
      </c>
      <c r="B739" s="320" t="s">
        <v>196</v>
      </c>
      <c r="C739" s="4" t="s">
        <v>1407</v>
      </c>
      <c r="D739" s="321" t="s">
        <v>244</v>
      </c>
      <c r="E739" s="122">
        <v>3</v>
      </c>
      <c r="F739" s="122"/>
      <c r="G739" s="122"/>
      <c r="H739" s="84" t="s">
        <v>1575</v>
      </c>
      <c r="I739" s="4" t="s">
        <v>341</v>
      </c>
      <c r="J739" s="4"/>
      <c r="K739" s="4" t="s">
        <v>801</v>
      </c>
      <c r="L739" s="310" t="s">
        <v>1484</v>
      </c>
      <c r="M739" s="132">
        <v>1973</v>
      </c>
      <c r="N739" s="132" t="s">
        <v>216</v>
      </c>
      <c r="O739" s="4">
        <v>9</v>
      </c>
      <c r="P739" s="4"/>
      <c r="Q739" s="23">
        <v>11</v>
      </c>
      <c r="R739" s="23">
        <v>414</v>
      </c>
      <c r="S739" s="23">
        <v>24419.7</v>
      </c>
      <c r="T739" s="23">
        <v>22514.2</v>
      </c>
      <c r="U739" s="23">
        <v>22514.2</v>
      </c>
      <c r="V739" s="4"/>
      <c r="W739" s="311" t="s">
        <v>218</v>
      </c>
      <c r="X739" s="312" t="s">
        <v>218</v>
      </c>
      <c r="Y739" s="122" t="s">
        <v>218</v>
      </c>
      <c r="Z739" s="312" t="s">
        <v>218</v>
      </c>
      <c r="AA739" s="122" t="s">
        <v>218</v>
      </c>
      <c r="AB739" s="313" t="str">
        <f t="shared" si="16"/>
        <v>да</v>
      </c>
      <c r="AC739" s="4" t="s">
        <v>219</v>
      </c>
      <c r="AD739" s="53" t="s">
        <v>218</v>
      </c>
      <c r="AE739" s="53" t="s">
        <v>219</v>
      </c>
      <c r="AF739" s="23">
        <v>11</v>
      </c>
      <c r="AG739" s="23">
        <v>2</v>
      </c>
      <c r="AH739" s="23">
        <v>2</v>
      </c>
      <c r="AI739" s="23">
        <v>3</v>
      </c>
      <c r="AJ739" s="23">
        <v>3</v>
      </c>
      <c r="AK739" s="23">
        <v>0</v>
      </c>
      <c r="AL739" s="4"/>
    </row>
    <row r="740" spans="1:38" ht="32.25" customHeight="1" x14ac:dyDescent="0.3">
      <c r="A740" s="80">
        <v>733</v>
      </c>
      <c r="B740" s="320" t="s">
        <v>196</v>
      </c>
      <c r="C740" s="4" t="s">
        <v>1407</v>
      </c>
      <c r="D740" s="321" t="s">
        <v>1485</v>
      </c>
      <c r="E740" s="122">
        <v>7</v>
      </c>
      <c r="F740" s="122">
        <v>1</v>
      </c>
      <c r="G740" s="122"/>
      <c r="H740" s="84" t="s">
        <v>1576</v>
      </c>
      <c r="I740" s="4" t="s">
        <v>341</v>
      </c>
      <c r="J740" s="4"/>
      <c r="K740" s="4" t="s">
        <v>801</v>
      </c>
      <c r="L740" s="310" t="s">
        <v>1484</v>
      </c>
      <c r="M740" s="132">
        <v>1968</v>
      </c>
      <c r="N740" s="132" t="s">
        <v>216</v>
      </c>
      <c r="O740" s="4">
        <v>9</v>
      </c>
      <c r="P740" s="4"/>
      <c r="Q740" s="23">
        <v>8</v>
      </c>
      <c r="R740" s="23">
        <v>287</v>
      </c>
      <c r="S740" s="23">
        <v>12612.05</v>
      </c>
      <c r="T740" s="23">
        <v>11155.25</v>
      </c>
      <c r="U740" s="23">
        <v>11155.25</v>
      </c>
      <c r="V740" s="4"/>
      <c r="W740" s="311" t="s">
        <v>218</v>
      </c>
      <c r="X740" s="312" t="s">
        <v>218</v>
      </c>
      <c r="Y740" s="122" t="s">
        <v>218</v>
      </c>
      <c r="Z740" s="312" t="s">
        <v>218</v>
      </c>
      <c r="AA740" s="122" t="s">
        <v>218</v>
      </c>
      <c r="AB740" s="313" t="str">
        <f t="shared" si="16"/>
        <v>да</v>
      </c>
      <c r="AC740" s="4" t="s">
        <v>219</v>
      </c>
      <c r="AD740" s="53" t="s">
        <v>218</v>
      </c>
      <c r="AE740" s="53" t="s">
        <v>219</v>
      </c>
      <c r="AF740" s="23">
        <v>8</v>
      </c>
      <c r="AG740" s="23">
        <v>2</v>
      </c>
      <c r="AH740" s="23">
        <v>1</v>
      </c>
      <c r="AI740" s="23">
        <v>1</v>
      </c>
      <c r="AJ740" s="23">
        <v>1</v>
      </c>
      <c r="AK740" s="23">
        <v>0</v>
      </c>
      <c r="AL740" s="4"/>
    </row>
    <row r="741" spans="1:38" ht="32.25" customHeight="1" x14ac:dyDescent="0.3">
      <c r="A741" s="5">
        <v>734</v>
      </c>
      <c r="B741" s="320" t="s">
        <v>196</v>
      </c>
      <c r="C741" s="4" t="s">
        <v>1407</v>
      </c>
      <c r="D741" s="321" t="s">
        <v>1486</v>
      </c>
      <c r="E741" s="122">
        <v>11</v>
      </c>
      <c r="F741" s="122"/>
      <c r="G741" s="122"/>
      <c r="H741" s="84" t="s">
        <v>1577</v>
      </c>
      <c r="I741" s="4" t="s">
        <v>341</v>
      </c>
      <c r="J741" s="4"/>
      <c r="K741" s="4" t="s">
        <v>801</v>
      </c>
      <c r="L741" s="310" t="s">
        <v>1487</v>
      </c>
      <c r="M741" s="132">
        <v>1965</v>
      </c>
      <c r="N741" s="132" t="s">
        <v>216</v>
      </c>
      <c r="O741" s="4">
        <v>9</v>
      </c>
      <c r="P741" s="4"/>
      <c r="Q741" s="23">
        <v>9</v>
      </c>
      <c r="R741" s="23">
        <v>134</v>
      </c>
      <c r="S741" s="23">
        <v>6714.87</v>
      </c>
      <c r="T741" s="23">
        <v>6003.87</v>
      </c>
      <c r="U741" s="23">
        <v>6003.87</v>
      </c>
      <c r="V741" s="4"/>
      <c r="W741" s="311" t="s">
        <v>218</v>
      </c>
      <c r="X741" s="312" t="s">
        <v>218</v>
      </c>
      <c r="Y741" s="122" t="s">
        <v>218</v>
      </c>
      <c r="Z741" s="312" t="s">
        <v>218</v>
      </c>
      <c r="AA741" s="122" t="s">
        <v>218</v>
      </c>
      <c r="AB741" s="313" t="str">
        <f t="shared" si="16"/>
        <v>да</v>
      </c>
      <c r="AC741" s="4" t="s">
        <v>219</v>
      </c>
      <c r="AD741" s="53" t="s">
        <v>218</v>
      </c>
      <c r="AE741" s="53" t="s">
        <v>219</v>
      </c>
      <c r="AF741" s="23"/>
      <c r="AG741" s="23">
        <v>1</v>
      </c>
      <c r="AH741" s="23">
        <v>1</v>
      </c>
      <c r="AI741" s="23">
        <v>1</v>
      </c>
      <c r="AJ741" s="23">
        <v>1</v>
      </c>
      <c r="AK741" s="23">
        <v>0</v>
      </c>
      <c r="AL741" s="4"/>
    </row>
    <row r="742" spans="1:38" ht="32.25" customHeight="1" x14ac:dyDescent="0.3">
      <c r="A742" s="80">
        <v>735</v>
      </c>
      <c r="B742" s="320" t="s">
        <v>196</v>
      </c>
      <c r="C742" s="4" t="s">
        <v>1407</v>
      </c>
      <c r="D742" s="321" t="s">
        <v>1486</v>
      </c>
      <c r="E742" s="122">
        <v>15</v>
      </c>
      <c r="F742" s="122"/>
      <c r="G742" s="122"/>
      <c r="H742" s="84" t="s">
        <v>1578</v>
      </c>
      <c r="I742" s="4" t="s">
        <v>341</v>
      </c>
      <c r="J742" s="4"/>
      <c r="K742" s="4" t="s">
        <v>801</v>
      </c>
      <c r="L742" s="310" t="s">
        <v>1488</v>
      </c>
      <c r="M742" s="132">
        <v>1987</v>
      </c>
      <c r="N742" s="132" t="s">
        <v>1413</v>
      </c>
      <c r="O742" s="4">
        <v>16</v>
      </c>
      <c r="P742" s="4"/>
      <c r="Q742" s="23">
        <v>3</v>
      </c>
      <c r="R742" s="23">
        <v>182</v>
      </c>
      <c r="S742" s="23">
        <v>16506.7</v>
      </c>
      <c r="T742" s="23">
        <v>12166.9</v>
      </c>
      <c r="U742" s="23">
        <v>12166.9</v>
      </c>
      <c r="V742" s="4"/>
      <c r="W742" s="311" t="s">
        <v>218</v>
      </c>
      <c r="X742" s="312" t="s">
        <v>218</v>
      </c>
      <c r="Y742" s="122" t="s">
        <v>218</v>
      </c>
      <c r="Z742" s="312" t="s">
        <v>218</v>
      </c>
      <c r="AA742" s="122" t="s">
        <v>218</v>
      </c>
      <c r="AB742" s="313" t="str">
        <f t="shared" si="16"/>
        <v>нет</v>
      </c>
      <c r="AC742" s="4" t="s">
        <v>219</v>
      </c>
      <c r="AD742" s="53" t="s">
        <v>219</v>
      </c>
      <c r="AE742" s="53" t="s">
        <v>218</v>
      </c>
      <c r="AF742" s="23">
        <v>6</v>
      </c>
      <c r="AG742" s="23">
        <v>3</v>
      </c>
      <c r="AH742" s="23">
        <v>4</v>
      </c>
      <c r="AI742" s="23">
        <v>1</v>
      </c>
      <c r="AJ742" s="23">
        <v>2</v>
      </c>
      <c r="AK742" s="23">
        <v>0</v>
      </c>
      <c r="AL742" s="4"/>
    </row>
    <row r="743" spans="1:38" ht="32.25" customHeight="1" x14ac:dyDescent="0.3">
      <c r="A743" s="5">
        <v>736</v>
      </c>
      <c r="B743" s="320" t="s">
        <v>196</v>
      </c>
      <c r="C743" s="4" t="s">
        <v>1407</v>
      </c>
      <c r="D743" s="321" t="s">
        <v>1486</v>
      </c>
      <c r="E743" s="122">
        <v>19</v>
      </c>
      <c r="F743" s="122">
        <v>1</v>
      </c>
      <c r="G743" s="122"/>
      <c r="H743" s="84" t="s">
        <v>1579</v>
      </c>
      <c r="I743" s="4" t="s">
        <v>341</v>
      </c>
      <c r="J743" s="4"/>
      <c r="K743" s="4" t="s">
        <v>801</v>
      </c>
      <c r="L743" s="310"/>
      <c r="M743" s="132">
        <v>1968</v>
      </c>
      <c r="N743" s="132" t="s">
        <v>216</v>
      </c>
      <c r="O743" s="4">
        <v>9</v>
      </c>
      <c r="P743" s="4"/>
      <c r="Q743" s="23">
        <v>8</v>
      </c>
      <c r="R743" s="23">
        <v>287</v>
      </c>
      <c r="S743" s="23">
        <v>12523.9</v>
      </c>
      <c r="T743" s="23">
        <v>11189</v>
      </c>
      <c r="U743" s="23">
        <v>11189</v>
      </c>
      <c r="V743" s="4"/>
      <c r="W743" s="311" t="s">
        <v>218</v>
      </c>
      <c r="X743" s="312" t="s">
        <v>218</v>
      </c>
      <c r="Y743" s="122" t="s">
        <v>218</v>
      </c>
      <c r="Z743" s="312" t="s">
        <v>218</v>
      </c>
      <c r="AA743" s="122" t="s">
        <v>218</v>
      </c>
      <c r="AB743" s="313" t="str">
        <f t="shared" si="16"/>
        <v>да</v>
      </c>
      <c r="AC743" s="4" t="s">
        <v>219</v>
      </c>
      <c r="AD743" s="53" t="s">
        <v>218</v>
      </c>
      <c r="AE743" s="53" t="s">
        <v>219</v>
      </c>
      <c r="AF743" s="23">
        <v>8</v>
      </c>
      <c r="AG743" s="23">
        <v>2</v>
      </c>
      <c r="AH743" s="23">
        <v>1</v>
      </c>
      <c r="AI743" s="23">
        <v>1</v>
      </c>
      <c r="AJ743" s="23">
        <v>1</v>
      </c>
      <c r="AK743" s="23">
        <v>0</v>
      </c>
      <c r="AL743" s="4"/>
    </row>
    <row r="744" spans="1:38" ht="32.25" customHeight="1" x14ac:dyDescent="0.3">
      <c r="A744" s="80">
        <v>737</v>
      </c>
      <c r="B744" s="320" t="s">
        <v>196</v>
      </c>
      <c r="C744" s="4" t="s">
        <v>1407</v>
      </c>
      <c r="D744" s="321" t="s">
        <v>1485</v>
      </c>
      <c r="E744" s="122">
        <v>25</v>
      </c>
      <c r="F744" s="122"/>
      <c r="G744" s="122"/>
      <c r="H744" s="84" t="s">
        <v>1580</v>
      </c>
      <c r="I744" s="4" t="s">
        <v>341</v>
      </c>
      <c r="J744" s="4"/>
      <c r="K744" s="4" t="s">
        <v>801</v>
      </c>
      <c r="L744" s="310" t="s">
        <v>1477</v>
      </c>
      <c r="M744" s="132">
        <v>1965</v>
      </c>
      <c r="N744" s="132" t="s">
        <v>216</v>
      </c>
      <c r="O744" s="4">
        <v>9</v>
      </c>
      <c r="P744" s="4"/>
      <c r="Q744" s="23">
        <v>9</v>
      </c>
      <c r="R744" s="23">
        <v>134</v>
      </c>
      <c r="S744" s="23">
        <v>6936.87</v>
      </c>
      <c r="T744" s="23">
        <v>6089.77</v>
      </c>
      <c r="U744" s="23">
        <v>6089.77</v>
      </c>
      <c r="V744" s="4"/>
      <c r="W744" s="311" t="s">
        <v>218</v>
      </c>
      <c r="X744" s="312" t="s">
        <v>218</v>
      </c>
      <c r="Y744" s="122" t="s">
        <v>218</v>
      </c>
      <c r="Z744" s="312" t="s">
        <v>218</v>
      </c>
      <c r="AA744" s="122" t="s">
        <v>218</v>
      </c>
      <c r="AB744" s="313" t="str">
        <f t="shared" si="16"/>
        <v>да</v>
      </c>
      <c r="AC744" s="4" t="s">
        <v>219</v>
      </c>
      <c r="AD744" s="53" t="s">
        <v>218</v>
      </c>
      <c r="AE744" s="53" t="s">
        <v>219</v>
      </c>
      <c r="AF744" s="23"/>
      <c r="AG744" s="23">
        <v>1</v>
      </c>
      <c r="AH744" s="23">
        <v>1</v>
      </c>
      <c r="AI744" s="23">
        <v>1</v>
      </c>
      <c r="AJ744" s="23">
        <v>1</v>
      </c>
      <c r="AK744" s="23">
        <v>0</v>
      </c>
      <c r="AL744" s="4"/>
    </row>
    <row r="745" spans="1:38" ht="32.25" customHeight="1" x14ac:dyDescent="0.3">
      <c r="A745" s="5">
        <v>738</v>
      </c>
      <c r="B745" s="320" t="s">
        <v>196</v>
      </c>
      <c r="C745" s="4" t="s">
        <v>1407</v>
      </c>
      <c r="D745" s="321" t="s">
        <v>1486</v>
      </c>
      <c r="E745" s="122">
        <v>27</v>
      </c>
      <c r="F745" s="122"/>
      <c r="G745" s="122"/>
      <c r="H745" s="84" t="s">
        <v>1581</v>
      </c>
      <c r="I745" s="4" t="s">
        <v>341</v>
      </c>
      <c r="J745" s="4"/>
      <c r="K745" s="4" t="s">
        <v>801</v>
      </c>
      <c r="L745" s="310" t="s">
        <v>1477</v>
      </c>
      <c r="M745" s="132">
        <v>1965</v>
      </c>
      <c r="N745" s="132" t="s">
        <v>216</v>
      </c>
      <c r="O745" s="4">
        <v>9</v>
      </c>
      <c r="P745" s="4"/>
      <c r="Q745" s="23">
        <v>9</v>
      </c>
      <c r="R745" s="23">
        <v>134</v>
      </c>
      <c r="S745" s="23">
        <v>6814.66</v>
      </c>
      <c r="T745" s="23">
        <v>6062.96</v>
      </c>
      <c r="U745" s="23">
        <v>6062.96</v>
      </c>
      <c r="V745" s="4"/>
      <c r="W745" s="311" t="s">
        <v>218</v>
      </c>
      <c r="X745" s="312" t="s">
        <v>218</v>
      </c>
      <c r="Y745" s="122" t="s">
        <v>218</v>
      </c>
      <c r="Z745" s="312" t="s">
        <v>218</v>
      </c>
      <c r="AA745" s="122" t="s">
        <v>218</v>
      </c>
      <c r="AB745" s="313" t="str">
        <f t="shared" si="16"/>
        <v>да</v>
      </c>
      <c r="AC745" s="4" t="s">
        <v>219</v>
      </c>
      <c r="AD745" s="53" t="s">
        <v>218</v>
      </c>
      <c r="AE745" s="53" t="s">
        <v>219</v>
      </c>
      <c r="AF745" s="23"/>
      <c r="AG745" s="23">
        <v>1</v>
      </c>
      <c r="AH745" s="23">
        <v>1</v>
      </c>
      <c r="AI745" s="23">
        <v>1</v>
      </c>
      <c r="AJ745" s="23">
        <v>1</v>
      </c>
      <c r="AK745" s="23">
        <v>0</v>
      </c>
      <c r="AL745" s="4"/>
    </row>
    <row r="746" spans="1:38" ht="32.25" customHeight="1" x14ac:dyDescent="0.3">
      <c r="A746" s="80">
        <v>739</v>
      </c>
      <c r="B746" s="320" t="s">
        <v>196</v>
      </c>
      <c r="C746" s="4" t="s">
        <v>1407</v>
      </c>
      <c r="D746" s="321" t="s">
        <v>1486</v>
      </c>
      <c r="E746" s="122">
        <v>39</v>
      </c>
      <c r="F746" s="122"/>
      <c r="G746" s="122"/>
      <c r="H746" s="84" t="s">
        <v>1582</v>
      </c>
      <c r="I746" s="4" t="s">
        <v>341</v>
      </c>
      <c r="J746" s="4"/>
      <c r="K746" s="4" t="s">
        <v>801</v>
      </c>
      <c r="L746" s="310" t="s">
        <v>1477</v>
      </c>
      <c r="M746" s="132">
        <v>1965</v>
      </c>
      <c r="N746" s="132" t="s">
        <v>216</v>
      </c>
      <c r="O746" s="4">
        <v>9</v>
      </c>
      <c r="P746" s="4"/>
      <c r="Q746" s="23">
        <v>6</v>
      </c>
      <c r="R746" s="23">
        <v>90</v>
      </c>
      <c r="S746" s="23">
        <v>4439.2</v>
      </c>
      <c r="T746" s="23">
        <v>4000</v>
      </c>
      <c r="U746" s="23">
        <v>4000</v>
      </c>
      <c r="V746" s="4"/>
      <c r="W746" s="311" t="s">
        <v>218</v>
      </c>
      <c r="X746" s="312" t="s">
        <v>218</v>
      </c>
      <c r="Y746" s="122" t="s">
        <v>218</v>
      </c>
      <c r="Z746" s="312" t="s">
        <v>218</v>
      </c>
      <c r="AA746" s="122" t="s">
        <v>218</v>
      </c>
      <c r="AB746" s="313" t="str">
        <f t="shared" si="16"/>
        <v>да</v>
      </c>
      <c r="AC746" s="4" t="s">
        <v>219</v>
      </c>
      <c r="AD746" s="53" t="s">
        <v>218</v>
      </c>
      <c r="AE746" s="53" t="s">
        <v>219</v>
      </c>
      <c r="AF746" s="23"/>
      <c r="AG746" s="23">
        <v>1</v>
      </c>
      <c r="AH746" s="23">
        <v>1</v>
      </c>
      <c r="AI746" s="23">
        <v>1</v>
      </c>
      <c r="AJ746" s="23">
        <v>1</v>
      </c>
      <c r="AK746" s="23">
        <v>0</v>
      </c>
      <c r="AL746" s="4"/>
    </row>
    <row r="747" spans="1:38" ht="32.25" customHeight="1" x14ac:dyDescent="0.3">
      <c r="A747" s="5">
        <v>740</v>
      </c>
      <c r="B747" s="320" t="s">
        <v>196</v>
      </c>
      <c r="C747" s="4" t="s">
        <v>1407</v>
      </c>
      <c r="D747" s="321" t="s">
        <v>1486</v>
      </c>
      <c r="E747" s="122">
        <v>41</v>
      </c>
      <c r="F747" s="122"/>
      <c r="G747" s="122"/>
      <c r="H747" s="84" t="s">
        <v>1583</v>
      </c>
      <c r="I747" s="4" t="s">
        <v>341</v>
      </c>
      <c r="J747" s="4"/>
      <c r="K747" s="4" t="s">
        <v>801</v>
      </c>
      <c r="L747" s="310" t="s">
        <v>1477</v>
      </c>
      <c r="M747" s="132">
        <v>1965</v>
      </c>
      <c r="N747" s="132" t="s">
        <v>216</v>
      </c>
      <c r="O747" s="4">
        <v>9</v>
      </c>
      <c r="P747" s="4"/>
      <c r="Q747" s="23">
        <v>6</v>
      </c>
      <c r="R747" s="23">
        <v>90</v>
      </c>
      <c r="S747" s="23">
        <v>4515.88</v>
      </c>
      <c r="T747" s="23">
        <v>4009.68</v>
      </c>
      <c r="U747" s="23">
        <v>4009.68</v>
      </c>
      <c r="V747" s="4"/>
      <c r="W747" s="311" t="s">
        <v>218</v>
      </c>
      <c r="X747" s="312" t="s">
        <v>218</v>
      </c>
      <c r="Y747" s="122" t="s">
        <v>218</v>
      </c>
      <c r="Z747" s="312" t="s">
        <v>218</v>
      </c>
      <c r="AA747" s="122" t="s">
        <v>218</v>
      </c>
      <c r="AB747" s="313" t="str">
        <f t="shared" si="16"/>
        <v>да</v>
      </c>
      <c r="AC747" s="4" t="s">
        <v>219</v>
      </c>
      <c r="AD747" s="53" t="s">
        <v>218</v>
      </c>
      <c r="AE747" s="53" t="s">
        <v>219</v>
      </c>
      <c r="AF747" s="23"/>
      <c r="AG747" s="23">
        <v>1</v>
      </c>
      <c r="AH747" s="23">
        <v>1</v>
      </c>
      <c r="AI747" s="23">
        <v>1</v>
      </c>
      <c r="AJ747" s="23">
        <v>1</v>
      </c>
      <c r="AK747" s="23">
        <v>0</v>
      </c>
      <c r="AL747" s="4"/>
    </row>
    <row r="748" spans="1:38" ht="32.25" customHeight="1" x14ac:dyDescent="0.3">
      <c r="A748" s="80">
        <v>741</v>
      </c>
      <c r="B748" s="320" t="s">
        <v>196</v>
      </c>
      <c r="C748" s="4" t="s">
        <v>1407</v>
      </c>
      <c r="D748" s="321" t="s">
        <v>1486</v>
      </c>
      <c r="E748" s="122" t="s">
        <v>1489</v>
      </c>
      <c r="F748" s="122"/>
      <c r="G748" s="122"/>
      <c r="H748" s="84" t="s">
        <v>1584</v>
      </c>
      <c r="I748" s="4" t="s">
        <v>341</v>
      </c>
      <c r="J748" s="4"/>
      <c r="K748" s="4" t="s">
        <v>801</v>
      </c>
      <c r="L748" s="310" t="s">
        <v>1490</v>
      </c>
      <c r="M748" s="132">
        <v>1977</v>
      </c>
      <c r="N748" s="132" t="s">
        <v>1413</v>
      </c>
      <c r="O748" s="4">
        <v>10</v>
      </c>
      <c r="P748" s="4"/>
      <c r="Q748" s="23">
        <v>12</v>
      </c>
      <c r="R748" s="23">
        <v>488</v>
      </c>
      <c r="S748" s="23">
        <v>35618.6</v>
      </c>
      <c r="T748" s="23">
        <v>29698.9</v>
      </c>
      <c r="U748" s="23">
        <v>26457.8</v>
      </c>
      <c r="V748" s="4">
        <v>3241.1</v>
      </c>
      <c r="W748" s="311" t="s">
        <v>218</v>
      </c>
      <c r="X748" s="312" t="s">
        <v>218</v>
      </c>
      <c r="Y748" s="122" t="s">
        <v>218</v>
      </c>
      <c r="Z748" s="312" t="s">
        <v>218</v>
      </c>
      <c r="AA748" s="122" t="s">
        <v>218</v>
      </c>
      <c r="AB748" s="313" t="str">
        <f t="shared" si="16"/>
        <v>нет</v>
      </c>
      <c r="AC748" s="4" t="s">
        <v>219</v>
      </c>
      <c r="AD748" s="53" t="s">
        <v>219</v>
      </c>
      <c r="AE748" s="53" t="s">
        <v>218</v>
      </c>
      <c r="AF748" s="23">
        <v>12</v>
      </c>
      <c r="AG748" s="23">
        <v>6</v>
      </c>
      <c r="AH748" s="23">
        <v>2</v>
      </c>
      <c r="AI748" s="23">
        <v>4</v>
      </c>
      <c r="AJ748" s="23">
        <v>8</v>
      </c>
      <c r="AK748" s="23">
        <v>0</v>
      </c>
      <c r="AL748" s="4"/>
    </row>
    <row r="749" spans="1:38" ht="32.25" customHeight="1" x14ac:dyDescent="0.3">
      <c r="A749" s="5">
        <v>742</v>
      </c>
      <c r="B749" s="320" t="s">
        <v>196</v>
      </c>
      <c r="C749" s="4" t="s">
        <v>1407</v>
      </c>
      <c r="D749" s="321" t="s">
        <v>1491</v>
      </c>
      <c r="E749" s="122">
        <v>4</v>
      </c>
      <c r="F749" s="122">
        <v>1</v>
      </c>
      <c r="G749" s="122"/>
      <c r="H749" s="84" t="s">
        <v>1585</v>
      </c>
      <c r="I749" s="4" t="s">
        <v>341</v>
      </c>
      <c r="J749" s="4"/>
      <c r="K749" s="4" t="s">
        <v>801</v>
      </c>
      <c r="L749" s="310" t="s">
        <v>1492</v>
      </c>
      <c r="M749" s="132">
        <v>1974</v>
      </c>
      <c r="N749" s="132" t="s">
        <v>216</v>
      </c>
      <c r="O749" s="4">
        <v>9</v>
      </c>
      <c r="P749" s="4"/>
      <c r="Q749" s="23">
        <v>12</v>
      </c>
      <c r="R749" s="23">
        <v>418</v>
      </c>
      <c r="S749" s="23">
        <v>24883</v>
      </c>
      <c r="T749" s="23">
        <v>24883</v>
      </c>
      <c r="U749" s="23">
        <v>22643</v>
      </c>
      <c r="V749" s="4"/>
      <c r="W749" s="311" t="s">
        <v>218</v>
      </c>
      <c r="X749" s="312" t="s">
        <v>218</v>
      </c>
      <c r="Y749" s="122" t="s">
        <v>218</v>
      </c>
      <c r="Z749" s="312" t="s">
        <v>218</v>
      </c>
      <c r="AA749" s="122" t="s">
        <v>218</v>
      </c>
      <c r="AB749" s="313" t="str">
        <f t="shared" si="16"/>
        <v>да</v>
      </c>
      <c r="AC749" s="4" t="s">
        <v>219</v>
      </c>
      <c r="AD749" s="53" t="s">
        <v>218</v>
      </c>
      <c r="AE749" s="53" t="s">
        <v>219</v>
      </c>
      <c r="AF749" s="23">
        <v>12</v>
      </c>
      <c r="AG749" s="23">
        <v>4</v>
      </c>
      <c r="AH749" s="23">
        <v>3</v>
      </c>
      <c r="AI749" s="23">
        <v>3</v>
      </c>
      <c r="AJ749" s="23">
        <v>3</v>
      </c>
      <c r="AK749" s="23">
        <v>0</v>
      </c>
      <c r="AL749" s="4"/>
    </row>
    <row r="750" spans="1:38" ht="32.25" customHeight="1" x14ac:dyDescent="0.3">
      <c r="A750" s="80">
        <v>743</v>
      </c>
      <c r="B750" s="320" t="s">
        <v>196</v>
      </c>
      <c r="C750" s="4" t="s">
        <v>1407</v>
      </c>
      <c r="D750" s="321" t="s">
        <v>1493</v>
      </c>
      <c r="E750" s="122">
        <v>4</v>
      </c>
      <c r="F750" s="122">
        <v>3</v>
      </c>
      <c r="G750" s="122"/>
      <c r="H750" s="84" t="s">
        <v>1586</v>
      </c>
      <c r="I750" s="4" t="s">
        <v>341</v>
      </c>
      <c r="J750" s="4"/>
      <c r="K750" s="4" t="s">
        <v>801</v>
      </c>
      <c r="L750" s="310" t="s">
        <v>1492</v>
      </c>
      <c r="M750" s="132">
        <v>1974</v>
      </c>
      <c r="N750" s="132" t="s">
        <v>216</v>
      </c>
      <c r="O750" s="4">
        <v>9</v>
      </c>
      <c r="P750" s="4"/>
      <c r="Q750" s="23">
        <v>7</v>
      </c>
      <c r="R750" s="23">
        <v>251</v>
      </c>
      <c r="S750" s="23">
        <v>14936.67</v>
      </c>
      <c r="T750" s="23">
        <v>13334.67</v>
      </c>
      <c r="U750" s="23">
        <v>13334.67</v>
      </c>
      <c r="V750" s="4"/>
      <c r="W750" s="311" t="s">
        <v>218</v>
      </c>
      <c r="X750" s="312" t="s">
        <v>218</v>
      </c>
      <c r="Y750" s="122" t="s">
        <v>218</v>
      </c>
      <c r="Z750" s="312" t="s">
        <v>218</v>
      </c>
      <c r="AA750" s="122" t="s">
        <v>218</v>
      </c>
      <c r="AB750" s="313" t="str">
        <f t="shared" si="16"/>
        <v>да</v>
      </c>
      <c r="AC750" s="4" t="s">
        <v>219</v>
      </c>
      <c r="AD750" s="53" t="s">
        <v>218</v>
      </c>
      <c r="AE750" s="53" t="s">
        <v>219</v>
      </c>
      <c r="AF750" s="23">
        <v>7</v>
      </c>
      <c r="AG750" s="23">
        <v>2</v>
      </c>
      <c r="AH750" s="23">
        <v>2</v>
      </c>
      <c r="AI750" s="23">
        <v>2</v>
      </c>
      <c r="AJ750" s="23">
        <v>2</v>
      </c>
      <c r="AK750" s="23">
        <v>0</v>
      </c>
      <c r="AL750" s="4"/>
    </row>
    <row r="751" spans="1:38" ht="32.25" customHeight="1" x14ac:dyDescent="0.3">
      <c r="A751" s="5">
        <v>744</v>
      </c>
      <c r="B751" s="320" t="s">
        <v>196</v>
      </c>
      <c r="C751" s="4" t="s">
        <v>1407</v>
      </c>
      <c r="D751" s="321" t="s">
        <v>1493</v>
      </c>
      <c r="E751" s="122" t="s">
        <v>1494</v>
      </c>
      <c r="F751" s="122"/>
      <c r="G751" s="122"/>
      <c r="H751" s="84" t="s">
        <v>1587</v>
      </c>
      <c r="I751" s="4" t="s">
        <v>341</v>
      </c>
      <c r="J751" s="4"/>
      <c r="K751" s="4" t="s">
        <v>801</v>
      </c>
      <c r="L751" s="310" t="s">
        <v>1492</v>
      </c>
      <c r="M751" s="132">
        <v>1977</v>
      </c>
      <c r="N751" s="132" t="s">
        <v>216</v>
      </c>
      <c r="O751" s="4">
        <v>9</v>
      </c>
      <c r="P751" s="4"/>
      <c r="Q751" s="23">
        <v>10</v>
      </c>
      <c r="R751" s="23">
        <v>382</v>
      </c>
      <c r="S751" s="23">
        <v>23415.599999999999</v>
      </c>
      <c r="T751" s="23">
        <v>21461.200000000001</v>
      </c>
      <c r="U751" s="23">
        <v>21231.9</v>
      </c>
      <c r="V751" s="4"/>
      <c r="W751" s="311" t="s">
        <v>218</v>
      </c>
      <c r="X751" s="312" t="s">
        <v>218</v>
      </c>
      <c r="Y751" s="122" t="s">
        <v>218</v>
      </c>
      <c r="Z751" s="312" t="s">
        <v>218</v>
      </c>
      <c r="AA751" s="122" t="s">
        <v>218</v>
      </c>
      <c r="AB751" s="313" t="str">
        <f t="shared" si="16"/>
        <v>да</v>
      </c>
      <c r="AC751" s="4" t="s">
        <v>219</v>
      </c>
      <c r="AD751" s="53" t="s">
        <v>218</v>
      </c>
      <c r="AE751" s="53" t="s">
        <v>219</v>
      </c>
      <c r="AF751" s="23">
        <v>10</v>
      </c>
      <c r="AG751" s="23">
        <v>4</v>
      </c>
      <c r="AH751" s="23">
        <v>2</v>
      </c>
      <c r="AI751" s="23">
        <v>3</v>
      </c>
      <c r="AJ751" s="23">
        <v>3</v>
      </c>
      <c r="AK751" s="23">
        <v>0</v>
      </c>
      <c r="AL751" s="4"/>
    </row>
    <row r="752" spans="1:38" ht="32.25" customHeight="1" x14ac:dyDescent="0.3">
      <c r="A752" s="80">
        <v>745</v>
      </c>
      <c r="B752" s="320" t="s">
        <v>196</v>
      </c>
      <c r="C752" s="4" t="s">
        <v>1407</v>
      </c>
      <c r="D752" s="321" t="s">
        <v>1408</v>
      </c>
      <c r="E752" s="122">
        <v>10</v>
      </c>
      <c r="F752" s="122"/>
      <c r="G752" s="122"/>
      <c r="H752" s="84" t="s">
        <v>1588</v>
      </c>
      <c r="I752" s="4" t="s">
        <v>247</v>
      </c>
      <c r="J752" s="4"/>
      <c r="K752" s="4" t="s">
        <v>801</v>
      </c>
      <c r="L752" s="322" t="s">
        <v>1414</v>
      </c>
      <c r="M752" s="132">
        <v>1965</v>
      </c>
      <c r="N752" s="132" t="s">
        <v>216</v>
      </c>
      <c r="O752" s="4">
        <v>5</v>
      </c>
      <c r="P752" s="4"/>
      <c r="Q752" s="23">
        <v>9</v>
      </c>
      <c r="R752" s="23">
        <v>134</v>
      </c>
      <c r="S752" s="23">
        <v>6741.8</v>
      </c>
      <c r="T752" s="23">
        <v>5993</v>
      </c>
      <c r="U752" s="23">
        <v>5993</v>
      </c>
      <c r="V752" s="4"/>
      <c r="W752" s="311" t="s">
        <v>218</v>
      </c>
      <c r="X752" s="312" t="s">
        <v>218</v>
      </c>
      <c r="Y752" s="122" t="s">
        <v>218</v>
      </c>
      <c r="Z752" s="312" t="s">
        <v>218</v>
      </c>
      <c r="AA752" s="122" t="s">
        <v>218</v>
      </c>
      <c r="AB752" s="313" t="str">
        <f t="shared" si="16"/>
        <v>да</v>
      </c>
      <c r="AC752" s="4" t="s">
        <v>219</v>
      </c>
      <c r="AD752" s="53" t="s">
        <v>218</v>
      </c>
      <c r="AE752" s="53" t="s">
        <v>219</v>
      </c>
      <c r="AF752" s="23"/>
      <c r="AG752" s="23">
        <v>1</v>
      </c>
      <c r="AH752" s="23">
        <v>1</v>
      </c>
      <c r="AI752" s="23">
        <v>1</v>
      </c>
      <c r="AJ752" s="23">
        <v>1</v>
      </c>
      <c r="AK752" s="23">
        <v>0</v>
      </c>
      <c r="AL752" s="4"/>
    </row>
    <row r="753" spans="1:38" ht="32.25" customHeight="1" x14ac:dyDescent="0.3">
      <c r="A753" s="5">
        <v>746</v>
      </c>
      <c r="B753" s="320" t="s">
        <v>196</v>
      </c>
      <c r="C753" s="4" t="s">
        <v>1407</v>
      </c>
      <c r="D753" s="321" t="s">
        <v>1415</v>
      </c>
      <c r="E753" s="122">
        <v>34</v>
      </c>
      <c r="F753" s="122">
        <v>1</v>
      </c>
      <c r="G753" s="122"/>
      <c r="H753" s="84" t="s">
        <v>1589</v>
      </c>
      <c r="I753" s="4" t="s">
        <v>247</v>
      </c>
      <c r="J753" s="4"/>
      <c r="K753" s="4" t="s">
        <v>801</v>
      </c>
      <c r="L753" s="310" t="s">
        <v>1495</v>
      </c>
      <c r="M753" s="132">
        <v>1969</v>
      </c>
      <c r="N753" s="132" t="s">
        <v>216</v>
      </c>
      <c r="O753" s="4">
        <v>5</v>
      </c>
      <c r="P753" s="4"/>
      <c r="Q753" s="23">
        <v>9</v>
      </c>
      <c r="R753" s="23">
        <v>324</v>
      </c>
      <c r="S753" s="23">
        <v>18848.28</v>
      </c>
      <c r="T753" s="23">
        <v>17180.48</v>
      </c>
      <c r="U753" s="23">
        <v>17174.95</v>
      </c>
      <c r="V753" s="4">
        <v>5.5</v>
      </c>
      <c r="W753" s="311" t="s">
        <v>218</v>
      </c>
      <c r="X753" s="312" t="s">
        <v>218</v>
      </c>
      <c r="Y753" s="122" t="s">
        <v>218</v>
      </c>
      <c r="Z753" s="312" t="s">
        <v>218</v>
      </c>
      <c r="AA753" s="122" t="s">
        <v>218</v>
      </c>
      <c r="AB753" s="313" t="str">
        <f t="shared" si="16"/>
        <v>да</v>
      </c>
      <c r="AC753" s="4" t="s">
        <v>219</v>
      </c>
      <c r="AD753" s="53" t="s">
        <v>218</v>
      </c>
      <c r="AE753" s="53" t="s">
        <v>219</v>
      </c>
      <c r="AF753" s="23">
        <v>9</v>
      </c>
      <c r="AG753" s="23">
        <v>2</v>
      </c>
      <c r="AH753" s="23">
        <v>1</v>
      </c>
      <c r="AI753" s="23">
        <v>2</v>
      </c>
      <c r="AJ753" s="23">
        <v>2</v>
      </c>
      <c r="AK753" s="23">
        <v>0</v>
      </c>
      <c r="AL753" s="4"/>
    </row>
    <row r="754" spans="1:38" ht="32.25" customHeight="1" x14ac:dyDescent="0.3">
      <c r="A754" s="80">
        <v>747</v>
      </c>
      <c r="B754" s="320" t="s">
        <v>196</v>
      </c>
      <c r="C754" s="4" t="s">
        <v>1407</v>
      </c>
      <c r="D754" s="321" t="s">
        <v>1415</v>
      </c>
      <c r="E754" s="122">
        <v>34</v>
      </c>
      <c r="F754" s="122">
        <v>3</v>
      </c>
      <c r="G754" s="122"/>
      <c r="H754" s="84" t="s">
        <v>1590</v>
      </c>
      <c r="I754" s="4" t="s">
        <v>247</v>
      </c>
      <c r="J754" s="4"/>
      <c r="K754" s="4" t="s">
        <v>801</v>
      </c>
      <c r="L754" s="310" t="s">
        <v>1421</v>
      </c>
      <c r="M754" s="132">
        <v>1965</v>
      </c>
      <c r="N754" s="132" t="s">
        <v>216</v>
      </c>
      <c r="O754" s="4">
        <v>5</v>
      </c>
      <c r="P754" s="4"/>
      <c r="Q754" s="23">
        <v>9</v>
      </c>
      <c r="R754" s="23">
        <v>134</v>
      </c>
      <c r="S754" s="23">
        <v>6742.99</v>
      </c>
      <c r="T754" s="23">
        <v>5996.19</v>
      </c>
      <c r="U754" s="23">
        <v>5996.19</v>
      </c>
      <c r="V754" s="4"/>
      <c r="W754" s="311" t="s">
        <v>218</v>
      </c>
      <c r="X754" s="312" t="s">
        <v>218</v>
      </c>
      <c r="Y754" s="122" t="s">
        <v>218</v>
      </c>
      <c r="Z754" s="312" t="s">
        <v>218</v>
      </c>
      <c r="AA754" s="122" t="s">
        <v>218</v>
      </c>
      <c r="AB754" s="313" t="str">
        <f t="shared" si="16"/>
        <v>да</v>
      </c>
      <c r="AC754" s="4" t="s">
        <v>219</v>
      </c>
      <c r="AD754" s="53" t="s">
        <v>218</v>
      </c>
      <c r="AE754" s="53" t="s">
        <v>219</v>
      </c>
      <c r="AF754" s="23"/>
      <c r="AG754" s="23">
        <v>1</v>
      </c>
      <c r="AH754" s="23">
        <v>1</v>
      </c>
      <c r="AI754" s="23">
        <v>1</v>
      </c>
      <c r="AJ754" s="23">
        <v>1</v>
      </c>
      <c r="AK754" s="23">
        <v>0</v>
      </c>
      <c r="AL754" s="4"/>
    </row>
    <row r="755" spans="1:38" ht="32.25" customHeight="1" x14ac:dyDescent="0.3">
      <c r="A755" s="5">
        <v>748</v>
      </c>
      <c r="B755" s="320" t="s">
        <v>196</v>
      </c>
      <c r="C755" s="4" t="s">
        <v>1407</v>
      </c>
      <c r="D755" s="321" t="s">
        <v>340</v>
      </c>
      <c r="E755" s="122">
        <v>62</v>
      </c>
      <c r="F755" s="122"/>
      <c r="G755" s="122"/>
      <c r="H755" s="84" t="s">
        <v>1591</v>
      </c>
      <c r="I755" s="4" t="s">
        <v>247</v>
      </c>
      <c r="J755" s="4"/>
      <c r="K755" s="4" t="s">
        <v>801</v>
      </c>
      <c r="L755" s="310" t="s">
        <v>1428</v>
      </c>
      <c r="M755" s="132">
        <v>1965</v>
      </c>
      <c r="N755" s="132" t="s">
        <v>216</v>
      </c>
      <c r="O755" s="4">
        <v>9</v>
      </c>
      <c r="P755" s="4"/>
      <c r="Q755" s="23">
        <v>9</v>
      </c>
      <c r="R755" s="23">
        <v>134</v>
      </c>
      <c r="S755" s="23">
        <v>6770.35</v>
      </c>
      <c r="T755" s="23">
        <v>6022.95</v>
      </c>
      <c r="U755" s="23">
        <v>6022.95</v>
      </c>
      <c r="V755" s="4"/>
      <c r="W755" s="311" t="s">
        <v>218</v>
      </c>
      <c r="X755" s="312" t="s">
        <v>218</v>
      </c>
      <c r="Y755" s="122" t="s">
        <v>218</v>
      </c>
      <c r="Z755" s="312" t="s">
        <v>218</v>
      </c>
      <c r="AA755" s="122" t="s">
        <v>218</v>
      </c>
      <c r="AB755" s="313" t="str">
        <f t="shared" si="16"/>
        <v>да</v>
      </c>
      <c r="AC755" s="4" t="s">
        <v>219</v>
      </c>
      <c r="AD755" s="53" t="s">
        <v>218</v>
      </c>
      <c r="AE755" s="53" t="s">
        <v>219</v>
      </c>
      <c r="AF755" s="23"/>
      <c r="AG755" s="23">
        <v>1</v>
      </c>
      <c r="AH755" s="23">
        <v>1</v>
      </c>
      <c r="AI755" s="23">
        <v>1</v>
      </c>
      <c r="AJ755" s="23">
        <v>1</v>
      </c>
      <c r="AK755" s="23">
        <v>0</v>
      </c>
      <c r="AL755" s="4"/>
    </row>
    <row r="756" spans="1:38" ht="32.25" customHeight="1" x14ac:dyDescent="0.3">
      <c r="A756" s="80">
        <v>749</v>
      </c>
      <c r="B756" s="320" t="s">
        <v>196</v>
      </c>
      <c r="C756" s="4" t="s">
        <v>1427</v>
      </c>
      <c r="D756" s="321" t="s">
        <v>340</v>
      </c>
      <c r="E756" s="122">
        <v>98</v>
      </c>
      <c r="F756" s="122">
        <v>1</v>
      </c>
      <c r="G756" s="122"/>
      <c r="H756" s="84" t="s">
        <v>1592</v>
      </c>
      <c r="I756" s="4" t="s">
        <v>247</v>
      </c>
      <c r="J756" s="4"/>
      <c r="K756" s="4" t="s">
        <v>801</v>
      </c>
      <c r="L756" s="310" t="s">
        <v>1428</v>
      </c>
      <c r="M756" s="132">
        <v>1976</v>
      </c>
      <c r="N756" s="132" t="s">
        <v>216</v>
      </c>
      <c r="O756" s="4">
        <v>14</v>
      </c>
      <c r="P756" s="4"/>
      <c r="Q756" s="23">
        <v>4</v>
      </c>
      <c r="R756" s="23">
        <v>336</v>
      </c>
      <c r="S756" s="23">
        <v>19781.3</v>
      </c>
      <c r="T756" s="23">
        <v>16948.400000000001</v>
      </c>
      <c r="U756" s="23">
        <v>16932</v>
      </c>
      <c r="V756" s="4">
        <v>16.399999999999999</v>
      </c>
      <c r="W756" s="311" t="s">
        <v>218</v>
      </c>
      <c r="X756" s="312" t="s">
        <v>218</v>
      </c>
      <c r="Y756" s="122" t="s">
        <v>218</v>
      </c>
      <c r="Z756" s="312" t="s">
        <v>218</v>
      </c>
      <c r="AA756" s="122" t="s">
        <v>218</v>
      </c>
      <c r="AB756" s="313" t="str">
        <f t="shared" si="16"/>
        <v>нет</v>
      </c>
      <c r="AC756" s="4" t="s">
        <v>219</v>
      </c>
      <c r="AD756" s="53" t="s">
        <v>219</v>
      </c>
      <c r="AE756" s="53" t="s">
        <v>218</v>
      </c>
      <c r="AF756" s="23"/>
      <c r="AG756" s="23">
        <v>2</v>
      </c>
      <c r="AH756" s="23">
        <v>3</v>
      </c>
      <c r="AI756" s="23">
        <v>1</v>
      </c>
      <c r="AJ756" s="23">
        <v>1</v>
      </c>
      <c r="AK756" s="23">
        <v>0</v>
      </c>
      <c r="AL756" s="4"/>
    </row>
    <row r="757" spans="1:38" ht="32.25" customHeight="1" x14ac:dyDescent="0.3">
      <c r="A757" s="5">
        <v>750</v>
      </c>
      <c r="B757" s="320" t="s">
        <v>196</v>
      </c>
      <c r="C757" s="4" t="s">
        <v>1427</v>
      </c>
      <c r="D757" s="321" t="s">
        <v>1429</v>
      </c>
      <c r="E757" s="122">
        <v>101</v>
      </c>
      <c r="F757" s="122">
        <v>1</v>
      </c>
      <c r="G757" s="122"/>
      <c r="H757" s="84" t="s">
        <v>1593</v>
      </c>
      <c r="I757" s="4" t="s">
        <v>247</v>
      </c>
      <c r="J757" s="4"/>
      <c r="K757" s="4" t="s">
        <v>801</v>
      </c>
      <c r="L757" s="310" t="s">
        <v>1428</v>
      </c>
      <c r="M757" s="132">
        <v>1976</v>
      </c>
      <c r="N757" s="132" t="s">
        <v>216</v>
      </c>
      <c r="O757" s="4">
        <v>9</v>
      </c>
      <c r="P757" s="4"/>
      <c r="Q757" s="23">
        <v>7</v>
      </c>
      <c r="R757" s="23">
        <v>272</v>
      </c>
      <c r="S757" s="23">
        <v>15957.7</v>
      </c>
      <c r="T757" s="23">
        <v>15043.2</v>
      </c>
      <c r="U757" s="23">
        <v>15043.2</v>
      </c>
      <c r="V757" s="4"/>
      <c r="W757" s="311" t="s">
        <v>218</v>
      </c>
      <c r="X757" s="312" t="s">
        <v>218</v>
      </c>
      <c r="Y757" s="122" t="s">
        <v>218</v>
      </c>
      <c r="Z757" s="312" t="s">
        <v>218</v>
      </c>
      <c r="AA757" s="122" t="s">
        <v>218</v>
      </c>
      <c r="AB757" s="313" t="str">
        <f t="shared" si="16"/>
        <v>да</v>
      </c>
      <c r="AC757" s="4" t="s">
        <v>219</v>
      </c>
      <c r="AD757" s="53" t="s">
        <v>218</v>
      </c>
      <c r="AE757" s="53" t="s">
        <v>219</v>
      </c>
      <c r="AF757" s="23">
        <v>7</v>
      </c>
      <c r="AG757" s="23">
        <v>2</v>
      </c>
      <c r="AH757" s="23">
        <v>2</v>
      </c>
      <c r="AI757" s="23">
        <v>2</v>
      </c>
      <c r="AJ757" s="23">
        <v>2</v>
      </c>
      <c r="AK757" s="23">
        <v>0</v>
      </c>
      <c r="AL757" s="4"/>
    </row>
    <row r="758" spans="1:38" ht="32.25" customHeight="1" x14ac:dyDescent="0.3">
      <c r="A758" s="80">
        <v>751</v>
      </c>
      <c r="B758" s="320" t="s">
        <v>196</v>
      </c>
      <c r="C758" s="4" t="s">
        <v>1427</v>
      </c>
      <c r="D758" s="321" t="s">
        <v>340</v>
      </c>
      <c r="E758" s="122">
        <v>104</v>
      </c>
      <c r="F758" s="122">
        <v>1</v>
      </c>
      <c r="G758" s="122"/>
      <c r="H758" s="84" t="s">
        <v>1594</v>
      </c>
      <c r="I758" s="4" t="s">
        <v>247</v>
      </c>
      <c r="J758" s="4"/>
      <c r="K758" s="4" t="s">
        <v>801</v>
      </c>
      <c r="L758" s="310" t="s">
        <v>1428</v>
      </c>
      <c r="M758" s="132">
        <v>1978</v>
      </c>
      <c r="N758" s="132" t="s">
        <v>216</v>
      </c>
      <c r="O758" s="4">
        <v>16</v>
      </c>
      <c r="P758" s="4"/>
      <c r="Q758" s="23">
        <v>13</v>
      </c>
      <c r="R758" s="23">
        <v>490</v>
      </c>
      <c r="S758" s="23">
        <v>29315.54</v>
      </c>
      <c r="T758" s="23">
        <v>27015.439999999999</v>
      </c>
      <c r="U758" s="23">
        <v>27015.439999999999</v>
      </c>
      <c r="V758" s="4"/>
      <c r="W758" s="311" t="s">
        <v>218</v>
      </c>
      <c r="X758" s="312" t="s">
        <v>218</v>
      </c>
      <c r="Y758" s="122" t="s">
        <v>218</v>
      </c>
      <c r="Z758" s="312" t="s">
        <v>218</v>
      </c>
      <c r="AA758" s="122" t="s">
        <v>218</v>
      </c>
      <c r="AB758" s="313" t="str">
        <f t="shared" si="16"/>
        <v>да</v>
      </c>
      <c r="AC758" s="4" t="s">
        <v>219</v>
      </c>
      <c r="AD758" s="53" t="s">
        <v>218</v>
      </c>
      <c r="AE758" s="53" t="s">
        <v>219</v>
      </c>
      <c r="AF758" s="23">
        <v>13</v>
      </c>
      <c r="AG758" s="23">
        <v>6</v>
      </c>
      <c r="AH758" s="23">
        <v>5</v>
      </c>
      <c r="AI758" s="23">
        <v>1</v>
      </c>
      <c r="AJ758" s="23">
        <v>1</v>
      </c>
      <c r="AK758" s="23">
        <v>0</v>
      </c>
      <c r="AL758" s="4"/>
    </row>
    <row r="759" spans="1:38" ht="32.25" customHeight="1" x14ac:dyDescent="0.3">
      <c r="A759" s="5">
        <v>752</v>
      </c>
      <c r="B759" s="320" t="s">
        <v>196</v>
      </c>
      <c r="C759" s="4" t="s">
        <v>1407</v>
      </c>
      <c r="D759" s="321" t="s">
        <v>1437</v>
      </c>
      <c r="E759" s="122">
        <v>55</v>
      </c>
      <c r="F759" s="122"/>
      <c r="G759" s="122"/>
      <c r="H759" s="84" t="s">
        <v>1595</v>
      </c>
      <c r="I759" s="4" t="s">
        <v>247</v>
      </c>
      <c r="J759" s="4"/>
      <c r="K759" s="4" t="s">
        <v>801</v>
      </c>
      <c r="L759" s="310" t="s">
        <v>1436</v>
      </c>
      <c r="M759" s="132">
        <v>1969</v>
      </c>
      <c r="N759" s="132" t="s">
        <v>1413</v>
      </c>
      <c r="O759" s="4">
        <v>9</v>
      </c>
      <c r="P759" s="4"/>
      <c r="Q759" s="23">
        <v>1</v>
      </c>
      <c r="R759" s="23">
        <v>45</v>
      </c>
      <c r="S759" s="23">
        <v>2300.4899999999998</v>
      </c>
      <c r="T759" s="23">
        <v>1976.89</v>
      </c>
      <c r="U759" s="23">
        <v>1976.89</v>
      </c>
      <c r="V759" s="4"/>
      <c r="W759" s="311" t="s">
        <v>218</v>
      </c>
      <c r="X759" s="312" t="s">
        <v>218</v>
      </c>
      <c r="Y759" s="122" t="s">
        <v>218</v>
      </c>
      <c r="Z759" s="312" t="s">
        <v>218</v>
      </c>
      <c r="AA759" s="122" t="s">
        <v>218</v>
      </c>
      <c r="AB759" s="313" t="str">
        <f t="shared" si="16"/>
        <v>да</v>
      </c>
      <c r="AC759" s="4" t="s">
        <v>219</v>
      </c>
      <c r="AD759" s="53" t="s">
        <v>218</v>
      </c>
      <c r="AE759" s="53" t="s">
        <v>219</v>
      </c>
      <c r="AF759" s="23">
        <v>1</v>
      </c>
      <c r="AG759" s="23">
        <v>2</v>
      </c>
      <c r="AH759" s="23">
        <v>1</v>
      </c>
      <c r="AI759" s="23">
        <v>1</v>
      </c>
      <c r="AJ759" s="23">
        <v>1</v>
      </c>
      <c r="AK759" s="23">
        <v>0</v>
      </c>
      <c r="AL759" s="4"/>
    </row>
    <row r="760" spans="1:38" ht="32.25" customHeight="1" x14ac:dyDescent="0.3">
      <c r="A760" s="80">
        <v>753</v>
      </c>
      <c r="B760" s="320" t="s">
        <v>196</v>
      </c>
      <c r="C760" s="4" t="s">
        <v>1407</v>
      </c>
      <c r="D760" s="321" t="s">
        <v>1442</v>
      </c>
      <c r="E760" s="122">
        <v>20</v>
      </c>
      <c r="F760" s="122">
        <v>3</v>
      </c>
      <c r="G760" s="122"/>
      <c r="H760" s="84" t="s">
        <v>1596</v>
      </c>
      <c r="I760" s="4" t="s">
        <v>247</v>
      </c>
      <c r="J760" s="4"/>
      <c r="K760" s="4" t="s">
        <v>801</v>
      </c>
      <c r="L760" s="310"/>
      <c r="M760" s="132">
        <v>1972</v>
      </c>
      <c r="N760" s="132" t="s">
        <v>216</v>
      </c>
      <c r="O760" s="4">
        <v>9</v>
      </c>
      <c r="P760" s="4"/>
      <c r="Q760" s="23">
        <v>4</v>
      </c>
      <c r="R760" s="23">
        <v>208</v>
      </c>
      <c r="S760" s="23">
        <v>11060.24</v>
      </c>
      <c r="T760" s="23">
        <v>9733.5400000000009</v>
      </c>
      <c r="U760" s="23">
        <v>9733.5400000000009</v>
      </c>
      <c r="V760" s="4"/>
      <c r="W760" s="311" t="s">
        <v>218</v>
      </c>
      <c r="X760" s="312" t="s">
        <v>218</v>
      </c>
      <c r="Y760" s="122" t="s">
        <v>218</v>
      </c>
      <c r="Z760" s="312" t="s">
        <v>218</v>
      </c>
      <c r="AA760" s="122" t="s">
        <v>218</v>
      </c>
      <c r="AB760" s="313" t="str">
        <f t="shared" si="16"/>
        <v>да</v>
      </c>
      <c r="AC760" s="4" t="s">
        <v>219</v>
      </c>
      <c r="AD760" s="53" t="s">
        <v>218</v>
      </c>
      <c r="AE760" s="53" t="s">
        <v>219</v>
      </c>
      <c r="AF760" s="23">
        <v>4</v>
      </c>
      <c r="AG760" s="23">
        <v>2</v>
      </c>
      <c r="AH760" s="23">
        <v>1</v>
      </c>
      <c r="AI760" s="23">
        <v>1</v>
      </c>
      <c r="AJ760" s="23">
        <v>1</v>
      </c>
      <c r="AK760" s="23">
        <v>0</v>
      </c>
      <c r="AL760" s="4"/>
    </row>
    <row r="761" spans="1:38" ht="32.25" customHeight="1" x14ac:dyDescent="0.3">
      <c r="A761" s="5">
        <v>754</v>
      </c>
      <c r="B761" s="320" t="s">
        <v>196</v>
      </c>
      <c r="C761" s="4" t="s">
        <v>1427</v>
      </c>
      <c r="D761" s="321" t="s">
        <v>1496</v>
      </c>
      <c r="E761" s="122">
        <v>37</v>
      </c>
      <c r="F761" s="122"/>
      <c r="G761" s="122"/>
      <c r="H761" s="84" t="s">
        <v>1597</v>
      </c>
      <c r="I761" s="4" t="s">
        <v>247</v>
      </c>
      <c r="J761" s="4"/>
      <c r="K761" s="4" t="s">
        <v>801</v>
      </c>
      <c r="L761" s="310" t="s">
        <v>1428</v>
      </c>
      <c r="M761" s="132">
        <v>1974</v>
      </c>
      <c r="N761" s="132" t="s">
        <v>216</v>
      </c>
      <c r="O761" s="4">
        <v>9</v>
      </c>
      <c r="P761" s="4"/>
      <c r="Q761" s="23">
        <v>10</v>
      </c>
      <c r="R761" s="23">
        <v>378</v>
      </c>
      <c r="S761" s="23">
        <v>21996.15</v>
      </c>
      <c r="T761" s="23">
        <v>20311.650000000001</v>
      </c>
      <c r="U761" s="23">
        <v>20311.650000000001</v>
      </c>
      <c r="V761" s="4"/>
      <c r="W761" s="311" t="s">
        <v>218</v>
      </c>
      <c r="X761" s="312" t="s">
        <v>218</v>
      </c>
      <c r="Y761" s="122" t="s">
        <v>218</v>
      </c>
      <c r="Z761" s="312" t="s">
        <v>218</v>
      </c>
      <c r="AA761" s="122" t="s">
        <v>218</v>
      </c>
      <c r="AB761" s="313" t="str">
        <f t="shared" si="16"/>
        <v>да</v>
      </c>
      <c r="AC761" s="4" t="s">
        <v>219</v>
      </c>
      <c r="AD761" s="53" t="s">
        <v>218</v>
      </c>
      <c r="AE761" s="53" t="s">
        <v>219</v>
      </c>
      <c r="AF761" s="23">
        <v>10</v>
      </c>
      <c r="AG761" s="23">
        <v>4</v>
      </c>
      <c r="AH761" s="23">
        <v>2</v>
      </c>
      <c r="AI761" s="23">
        <v>2</v>
      </c>
      <c r="AJ761" s="23">
        <v>2</v>
      </c>
      <c r="AK761" s="23">
        <v>0</v>
      </c>
      <c r="AL761" s="4"/>
    </row>
    <row r="762" spans="1:38" ht="32.25" customHeight="1" x14ac:dyDescent="0.3">
      <c r="A762" s="80">
        <v>755</v>
      </c>
      <c r="B762" s="320" t="s">
        <v>196</v>
      </c>
      <c r="C762" s="4" t="s">
        <v>1407</v>
      </c>
      <c r="D762" s="321" t="s">
        <v>1464</v>
      </c>
      <c r="E762" s="122">
        <v>9</v>
      </c>
      <c r="F762" s="122">
        <v>1</v>
      </c>
      <c r="G762" s="122"/>
      <c r="H762" s="84" t="s">
        <v>1598</v>
      </c>
      <c r="I762" s="4" t="s">
        <v>247</v>
      </c>
      <c r="J762" s="4"/>
      <c r="K762" s="4" t="s">
        <v>801</v>
      </c>
      <c r="L762" s="310" t="s">
        <v>1466</v>
      </c>
      <c r="M762" s="132">
        <v>1973</v>
      </c>
      <c r="N762" s="132" t="s">
        <v>216</v>
      </c>
      <c r="O762" s="4">
        <v>9</v>
      </c>
      <c r="P762" s="4"/>
      <c r="Q762" s="23">
        <v>5</v>
      </c>
      <c r="R762" s="23">
        <v>179</v>
      </c>
      <c r="S762" s="23">
        <v>11031.42</v>
      </c>
      <c r="T762" s="23">
        <v>9859.1200000000008</v>
      </c>
      <c r="U762" s="23">
        <v>9859.1200000000008</v>
      </c>
      <c r="V762" s="4"/>
      <c r="W762" s="311" t="s">
        <v>218</v>
      </c>
      <c r="X762" s="312" t="s">
        <v>218</v>
      </c>
      <c r="Y762" s="122" t="s">
        <v>218</v>
      </c>
      <c r="Z762" s="312" t="s">
        <v>218</v>
      </c>
      <c r="AA762" s="122" t="s">
        <v>218</v>
      </c>
      <c r="AB762" s="313" t="str">
        <f t="shared" si="16"/>
        <v>да</v>
      </c>
      <c r="AC762" s="4" t="s">
        <v>219</v>
      </c>
      <c r="AD762" s="53" t="s">
        <v>218</v>
      </c>
      <c r="AE762" s="53" t="s">
        <v>219</v>
      </c>
      <c r="AF762" s="23">
        <v>5</v>
      </c>
      <c r="AG762" s="23">
        <v>2</v>
      </c>
      <c r="AH762" s="23">
        <v>1</v>
      </c>
      <c r="AI762" s="23">
        <v>2</v>
      </c>
      <c r="AJ762" s="23">
        <v>2</v>
      </c>
      <c r="AK762" s="23">
        <v>0</v>
      </c>
      <c r="AL762" s="4"/>
    </row>
    <row r="763" spans="1:38" ht="32.25" customHeight="1" x14ac:dyDescent="0.3">
      <c r="A763" s="5">
        <v>756</v>
      </c>
      <c r="B763" s="320" t="s">
        <v>196</v>
      </c>
      <c r="C763" s="4" t="s">
        <v>1407</v>
      </c>
      <c r="D763" s="321" t="s">
        <v>354</v>
      </c>
      <c r="E763" s="122">
        <v>11</v>
      </c>
      <c r="F763" s="122">
        <v>2</v>
      </c>
      <c r="G763" s="122"/>
      <c r="H763" s="84" t="s">
        <v>1599</v>
      </c>
      <c r="I763" s="4" t="s">
        <v>247</v>
      </c>
      <c r="J763" s="4"/>
      <c r="K763" s="4" t="s">
        <v>801</v>
      </c>
      <c r="L763" s="310"/>
      <c r="M763" s="132">
        <v>1973</v>
      </c>
      <c r="N763" s="132" t="s">
        <v>216</v>
      </c>
      <c r="O763" s="4">
        <v>9</v>
      </c>
      <c r="P763" s="4"/>
      <c r="Q763" s="23">
        <v>5</v>
      </c>
      <c r="R763" s="23">
        <v>179</v>
      </c>
      <c r="S763" s="23">
        <v>10884.49</v>
      </c>
      <c r="T763" s="23">
        <v>9770.09</v>
      </c>
      <c r="U763" s="23">
        <v>9756.89</v>
      </c>
      <c r="V763" s="4">
        <v>13.2</v>
      </c>
      <c r="W763" s="311" t="s">
        <v>218</v>
      </c>
      <c r="X763" s="312" t="s">
        <v>218</v>
      </c>
      <c r="Y763" s="122" t="s">
        <v>218</v>
      </c>
      <c r="Z763" s="312" t="s">
        <v>218</v>
      </c>
      <c r="AA763" s="122" t="s">
        <v>218</v>
      </c>
      <c r="AB763" s="313" t="str">
        <f t="shared" si="16"/>
        <v>да</v>
      </c>
      <c r="AC763" s="4" t="s">
        <v>219</v>
      </c>
      <c r="AD763" s="53" t="s">
        <v>218</v>
      </c>
      <c r="AE763" s="53" t="s">
        <v>219</v>
      </c>
      <c r="AF763" s="23">
        <v>5</v>
      </c>
      <c r="AG763" s="23">
        <v>2</v>
      </c>
      <c r="AH763" s="23">
        <v>1</v>
      </c>
      <c r="AI763" s="23">
        <v>2</v>
      </c>
      <c r="AJ763" s="23">
        <v>2</v>
      </c>
      <c r="AK763" s="23">
        <v>0</v>
      </c>
      <c r="AL763" s="4"/>
    </row>
    <row r="764" spans="1:38" ht="32.25" customHeight="1" x14ac:dyDescent="0.3">
      <c r="A764" s="80">
        <v>757</v>
      </c>
      <c r="B764" s="320" t="s">
        <v>196</v>
      </c>
      <c r="C764" s="4" t="s">
        <v>1407</v>
      </c>
      <c r="D764" s="321" t="s">
        <v>354</v>
      </c>
      <c r="E764" s="122">
        <v>19</v>
      </c>
      <c r="F764" s="122">
        <v>1</v>
      </c>
      <c r="G764" s="122"/>
      <c r="H764" s="84" t="s">
        <v>1600</v>
      </c>
      <c r="I764" s="4" t="s">
        <v>247</v>
      </c>
      <c r="J764" s="4"/>
      <c r="K764" s="4" t="s">
        <v>801</v>
      </c>
      <c r="L764" s="310"/>
      <c r="M764" s="132">
        <v>1973</v>
      </c>
      <c r="N764" s="132" t="s">
        <v>216</v>
      </c>
      <c r="O764" s="4">
        <v>9</v>
      </c>
      <c r="P764" s="4"/>
      <c r="Q764" s="23">
        <v>5</v>
      </c>
      <c r="R764" s="23">
        <v>178</v>
      </c>
      <c r="S764" s="23">
        <v>11124.2</v>
      </c>
      <c r="T764" s="23">
        <v>9945.9</v>
      </c>
      <c r="U764" s="23">
        <v>9858.6</v>
      </c>
      <c r="V764" s="4">
        <v>87.3</v>
      </c>
      <c r="W764" s="311" t="s">
        <v>218</v>
      </c>
      <c r="X764" s="312" t="s">
        <v>218</v>
      </c>
      <c r="Y764" s="122" t="s">
        <v>218</v>
      </c>
      <c r="Z764" s="312" t="s">
        <v>218</v>
      </c>
      <c r="AA764" s="122" t="s">
        <v>218</v>
      </c>
      <c r="AB764" s="313" t="str">
        <f t="shared" si="16"/>
        <v>да</v>
      </c>
      <c r="AC764" s="4" t="s">
        <v>219</v>
      </c>
      <c r="AD764" s="53" t="s">
        <v>218</v>
      </c>
      <c r="AE764" s="53" t="s">
        <v>219</v>
      </c>
      <c r="AF764" s="23">
        <v>5</v>
      </c>
      <c r="AG764" s="23">
        <v>2</v>
      </c>
      <c r="AH764" s="23">
        <v>1</v>
      </c>
      <c r="AI764" s="23">
        <v>2</v>
      </c>
      <c r="AJ764" s="23">
        <v>2</v>
      </c>
      <c r="AK764" s="23">
        <v>0</v>
      </c>
      <c r="AL764" s="4"/>
    </row>
    <row r="765" spans="1:38" ht="32.25" customHeight="1" x14ac:dyDescent="0.3">
      <c r="A765" s="5">
        <v>758</v>
      </c>
      <c r="B765" s="320" t="s">
        <v>196</v>
      </c>
      <c r="C765" s="4" t="s">
        <v>1407</v>
      </c>
      <c r="D765" s="321" t="s">
        <v>1464</v>
      </c>
      <c r="E765" s="122">
        <v>19</v>
      </c>
      <c r="F765" s="122">
        <v>2</v>
      </c>
      <c r="G765" s="122"/>
      <c r="H765" s="84" t="s">
        <v>1601</v>
      </c>
      <c r="I765" s="4" t="s">
        <v>247</v>
      </c>
      <c r="J765" s="4"/>
      <c r="K765" s="4" t="s">
        <v>801</v>
      </c>
      <c r="L765" s="310" t="s">
        <v>1414</v>
      </c>
      <c r="M765" s="132">
        <v>1973</v>
      </c>
      <c r="N765" s="132" t="s">
        <v>216</v>
      </c>
      <c r="O765" s="4">
        <v>9</v>
      </c>
      <c r="P765" s="4"/>
      <c r="Q765" s="23">
        <v>6</v>
      </c>
      <c r="R765" s="23">
        <v>216</v>
      </c>
      <c r="S765" s="23">
        <v>12538.2</v>
      </c>
      <c r="T765" s="23">
        <v>11601.2</v>
      </c>
      <c r="U765" s="23">
        <v>11601.2</v>
      </c>
      <c r="V765" s="4"/>
      <c r="W765" s="311" t="s">
        <v>218</v>
      </c>
      <c r="X765" s="312" t="s">
        <v>218</v>
      </c>
      <c r="Y765" s="122" t="s">
        <v>218</v>
      </c>
      <c r="Z765" s="312" t="s">
        <v>218</v>
      </c>
      <c r="AA765" s="122" t="s">
        <v>218</v>
      </c>
      <c r="AB765" s="313" t="str">
        <f t="shared" si="16"/>
        <v>да</v>
      </c>
      <c r="AC765" s="4" t="s">
        <v>219</v>
      </c>
      <c r="AD765" s="53" t="s">
        <v>218</v>
      </c>
      <c r="AE765" s="53" t="s">
        <v>219</v>
      </c>
      <c r="AF765" s="23">
        <v>6</v>
      </c>
      <c r="AG765" s="23">
        <v>2</v>
      </c>
      <c r="AH765" s="23">
        <v>2</v>
      </c>
      <c r="AI765" s="23">
        <v>1</v>
      </c>
      <c r="AJ765" s="23">
        <v>1</v>
      </c>
      <c r="AK765" s="23">
        <v>0</v>
      </c>
      <c r="AL765" s="4"/>
    </row>
    <row r="766" spans="1:38" ht="32.25" customHeight="1" x14ac:dyDescent="0.3">
      <c r="A766" s="80">
        <v>759</v>
      </c>
      <c r="B766" s="320" t="s">
        <v>196</v>
      </c>
      <c r="C766" s="4" t="s">
        <v>1427</v>
      </c>
      <c r="D766" s="321" t="s">
        <v>354</v>
      </c>
      <c r="E766" s="122">
        <v>33</v>
      </c>
      <c r="F766" s="122"/>
      <c r="G766" s="122"/>
      <c r="H766" s="84" t="s">
        <v>1602</v>
      </c>
      <c r="I766" s="4" t="s">
        <v>247</v>
      </c>
      <c r="J766" s="4"/>
      <c r="K766" s="4" t="s">
        <v>801</v>
      </c>
      <c r="L766" s="310"/>
      <c r="M766" s="132">
        <v>1976</v>
      </c>
      <c r="N766" s="132" t="s">
        <v>216</v>
      </c>
      <c r="O766" s="4">
        <v>9</v>
      </c>
      <c r="P766" s="4"/>
      <c r="Q766" s="23">
        <v>8</v>
      </c>
      <c r="R766" s="23">
        <v>295</v>
      </c>
      <c r="S766" s="23">
        <v>17973.740000000002</v>
      </c>
      <c r="T766" s="23">
        <v>16457.34</v>
      </c>
      <c r="U766" s="23">
        <v>16417.34</v>
      </c>
      <c r="V766" s="4">
        <v>40</v>
      </c>
      <c r="W766" s="311" t="s">
        <v>218</v>
      </c>
      <c r="X766" s="312" t="s">
        <v>218</v>
      </c>
      <c r="Y766" s="122" t="s">
        <v>218</v>
      </c>
      <c r="Z766" s="312" t="s">
        <v>218</v>
      </c>
      <c r="AA766" s="122" t="s">
        <v>218</v>
      </c>
      <c r="AB766" s="313" t="str">
        <f t="shared" si="16"/>
        <v>да</v>
      </c>
      <c r="AC766" s="4" t="s">
        <v>219</v>
      </c>
      <c r="AD766" s="53" t="s">
        <v>218</v>
      </c>
      <c r="AE766" s="53" t="s">
        <v>219</v>
      </c>
      <c r="AF766" s="23">
        <v>8</v>
      </c>
      <c r="AG766" s="23">
        <v>2</v>
      </c>
      <c r="AH766" s="23">
        <v>2</v>
      </c>
      <c r="AI766" s="23">
        <v>3</v>
      </c>
      <c r="AJ766" s="23">
        <v>3</v>
      </c>
      <c r="AK766" s="23">
        <v>0</v>
      </c>
      <c r="AL766" s="4"/>
    </row>
    <row r="767" spans="1:38" ht="32.25" customHeight="1" x14ac:dyDescent="0.3">
      <c r="A767" s="5">
        <v>760</v>
      </c>
      <c r="B767" s="320" t="s">
        <v>196</v>
      </c>
      <c r="C767" s="4" t="s">
        <v>1427</v>
      </c>
      <c r="D767" s="321" t="s">
        <v>1461</v>
      </c>
      <c r="E767" s="122">
        <v>36</v>
      </c>
      <c r="F767" s="122"/>
      <c r="G767" s="122"/>
      <c r="H767" s="84" t="s">
        <v>1603</v>
      </c>
      <c r="I767" s="4" t="s">
        <v>247</v>
      </c>
      <c r="J767" s="4"/>
      <c r="K767" s="4" t="s">
        <v>801</v>
      </c>
      <c r="L767" s="310" t="s">
        <v>1440</v>
      </c>
      <c r="M767" s="132">
        <v>1976</v>
      </c>
      <c r="N767" s="132" t="s">
        <v>216</v>
      </c>
      <c r="O767" s="4">
        <v>9</v>
      </c>
      <c r="P767" s="4"/>
      <c r="Q767" s="23">
        <v>8</v>
      </c>
      <c r="R767" s="23">
        <v>295</v>
      </c>
      <c r="S767" s="23">
        <v>17584.650000000001</v>
      </c>
      <c r="T767" s="23">
        <v>16069.25</v>
      </c>
      <c r="U767" s="23">
        <v>16069.25</v>
      </c>
      <c r="V767" s="4"/>
      <c r="W767" s="311" t="s">
        <v>218</v>
      </c>
      <c r="X767" s="312" t="s">
        <v>218</v>
      </c>
      <c r="Y767" s="122" t="s">
        <v>218</v>
      </c>
      <c r="Z767" s="312" t="s">
        <v>218</v>
      </c>
      <c r="AA767" s="122" t="s">
        <v>218</v>
      </c>
      <c r="AB767" s="313" t="str">
        <f t="shared" si="16"/>
        <v>да</v>
      </c>
      <c r="AC767" s="4" t="s">
        <v>219</v>
      </c>
      <c r="AD767" s="53" t="s">
        <v>218</v>
      </c>
      <c r="AE767" s="53" t="s">
        <v>219</v>
      </c>
      <c r="AF767" s="23">
        <v>8</v>
      </c>
      <c r="AG767" s="23">
        <v>2</v>
      </c>
      <c r="AH767" s="23">
        <v>2</v>
      </c>
      <c r="AI767" s="23">
        <v>3</v>
      </c>
      <c r="AJ767" s="23">
        <v>3</v>
      </c>
      <c r="AK767" s="23">
        <v>0</v>
      </c>
      <c r="AL767" s="4"/>
    </row>
    <row r="768" spans="1:38" ht="32.25" customHeight="1" x14ac:dyDescent="0.3">
      <c r="A768" s="80">
        <v>761</v>
      </c>
      <c r="B768" s="320" t="s">
        <v>196</v>
      </c>
      <c r="C768" s="4" t="s">
        <v>1407</v>
      </c>
      <c r="D768" s="321" t="s">
        <v>1476</v>
      </c>
      <c r="E768" s="122">
        <v>4</v>
      </c>
      <c r="F768" s="122">
        <v>2</v>
      </c>
      <c r="G768" s="122"/>
      <c r="H768" s="84" t="s">
        <v>1604</v>
      </c>
      <c r="I768" s="4" t="s">
        <v>247</v>
      </c>
      <c r="J768" s="4"/>
      <c r="K768" s="4" t="s">
        <v>801</v>
      </c>
      <c r="L768" s="310" t="s">
        <v>1497</v>
      </c>
      <c r="M768" s="132">
        <v>1976</v>
      </c>
      <c r="N768" s="132" t="s">
        <v>318</v>
      </c>
      <c r="O768" s="4">
        <v>14</v>
      </c>
      <c r="P768" s="4"/>
      <c r="Q768" s="23">
        <v>1</v>
      </c>
      <c r="R768" s="23">
        <v>97</v>
      </c>
      <c r="S768" s="23">
        <v>5912.5</v>
      </c>
      <c r="T768" s="23">
        <v>4840.5</v>
      </c>
      <c r="U768" s="23">
        <v>4840.5</v>
      </c>
      <c r="V768" s="4"/>
      <c r="W768" s="311" t="s">
        <v>218</v>
      </c>
      <c r="X768" s="312" t="s">
        <v>218</v>
      </c>
      <c r="Y768" s="122" t="s">
        <v>218</v>
      </c>
      <c r="Z768" s="312" t="s">
        <v>218</v>
      </c>
      <c r="AA768" s="122" t="s">
        <v>218</v>
      </c>
      <c r="AB768" s="313" t="str">
        <f t="shared" si="16"/>
        <v>нет</v>
      </c>
      <c r="AC768" s="4" t="s">
        <v>219</v>
      </c>
      <c r="AD768" s="53" t="s">
        <v>219</v>
      </c>
      <c r="AE768" s="53" t="s">
        <v>218</v>
      </c>
      <c r="AF768" s="23">
        <v>2</v>
      </c>
      <c r="AG768" s="23">
        <v>2</v>
      </c>
      <c r="AH768" s="23">
        <v>3</v>
      </c>
      <c r="AI768" s="23">
        <v>1</v>
      </c>
      <c r="AJ768" s="23">
        <v>1</v>
      </c>
      <c r="AK768" s="23">
        <v>0</v>
      </c>
      <c r="AL768" s="4"/>
    </row>
    <row r="769" spans="1:38" ht="32.25" customHeight="1" x14ac:dyDescent="0.3">
      <c r="A769" s="5">
        <v>762</v>
      </c>
      <c r="B769" s="320" t="s">
        <v>196</v>
      </c>
      <c r="C769" s="4" t="s">
        <v>1427</v>
      </c>
      <c r="D769" s="321" t="s">
        <v>1474</v>
      </c>
      <c r="E769" s="122">
        <v>30</v>
      </c>
      <c r="F769" s="122">
        <v>3</v>
      </c>
      <c r="G769" s="122"/>
      <c r="H769" s="84" t="s">
        <v>1605</v>
      </c>
      <c r="I769" s="4" t="s">
        <v>247</v>
      </c>
      <c r="J769" s="4"/>
      <c r="K769" s="4" t="s">
        <v>801</v>
      </c>
      <c r="L769" s="310"/>
      <c r="M769" s="132">
        <v>1981</v>
      </c>
      <c r="N769" s="132" t="s">
        <v>216</v>
      </c>
      <c r="O769" s="4">
        <v>14</v>
      </c>
      <c r="P769" s="4"/>
      <c r="Q769" s="23">
        <v>9</v>
      </c>
      <c r="R769" s="23">
        <v>608</v>
      </c>
      <c r="S769" s="23">
        <v>41545.79</v>
      </c>
      <c r="T769" s="23">
        <v>34958.29</v>
      </c>
      <c r="U769" s="23">
        <v>34872.589999999997</v>
      </c>
      <c r="V769" s="4">
        <v>85.7</v>
      </c>
      <c r="W769" s="311" t="s">
        <v>218</v>
      </c>
      <c r="X769" s="312" t="s">
        <v>218</v>
      </c>
      <c r="Y769" s="122" t="s">
        <v>218</v>
      </c>
      <c r="Z769" s="312" t="s">
        <v>218</v>
      </c>
      <c r="AA769" s="122" t="s">
        <v>218</v>
      </c>
      <c r="AB769" s="313" t="str">
        <f t="shared" si="16"/>
        <v>нет</v>
      </c>
      <c r="AC769" s="4" t="s">
        <v>219</v>
      </c>
      <c r="AD769" s="53" t="s">
        <v>219</v>
      </c>
      <c r="AE769" s="53" t="s">
        <v>218</v>
      </c>
      <c r="AF769" s="23">
        <v>18</v>
      </c>
      <c r="AG769" s="23">
        <v>4</v>
      </c>
      <c r="AH769" s="23">
        <v>4</v>
      </c>
      <c r="AI769" s="23">
        <v>2</v>
      </c>
      <c r="AJ769" s="23">
        <v>5</v>
      </c>
      <c r="AK769" s="23">
        <v>0</v>
      </c>
      <c r="AL769" s="4"/>
    </row>
    <row r="770" spans="1:38" ht="32.25" customHeight="1" x14ac:dyDescent="0.3">
      <c r="A770" s="80">
        <v>763</v>
      </c>
      <c r="B770" s="320" t="s">
        <v>196</v>
      </c>
      <c r="C770" s="4" t="s">
        <v>1427</v>
      </c>
      <c r="D770" s="321" t="s">
        <v>1476</v>
      </c>
      <c r="E770" s="122">
        <v>40</v>
      </c>
      <c r="F770" s="122">
        <v>1</v>
      </c>
      <c r="G770" s="122"/>
      <c r="H770" s="84" t="s">
        <v>1606</v>
      </c>
      <c r="I770" s="4" t="s">
        <v>247</v>
      </c>
      <c r="J770" s="4"/>
      <c r="K770" s="4" t="s">
        <v>801</v>
      </c>
      <c r="L770" s="310" t="s">
        <v>413</v>
      </c>
      <c r="M770" s="132">
        <v>1976</v>
      </c>
      <c r="N770" s="132" t="s">
        <v>216</v>
      </c>
      <c r="O770" s="4">
        <v>9</v>
      </c>
      <c r="P770" s="4"/>
      <c r="Q770" s="23">
        <v>5</v>
      </c>
      <c r="R770" s="23">
        <v>180</v>
      </c>
      <c r="S770" s="23">
        <v>10965.1</v>
      </c>
      <c r="T770" s="23">
        <v>10144.5</v>
      </c>
      <c r="U770" s="23">
        <v>10144.5</v>
      </c>
      <c r="V770" s="4"/>
      <c r="W770" s="311" t="s">
        <v>218</v>
      </c>
      <c r="X770" s="312" t="s">
        <v>218</v>
      </c>
      <c r="Y770" s="122" t="s">
        <v>218</v>
      </c>
      <c r="Z770" s="312" t="s">
        <v>218</v>
      </c>
      <c r="AA770" s="122" t="s">
        <v>218</v>
      </c>
      <c r="AB770" s="313" t="str">
        <f t="shared" si="16"/>
        <v>да</v>
      </c>
      <c r="AC770" s="4" t="s">
        <v>219</v>
      </c>
      <c r="AD770" s="53" t="s">
        <v>218</v>
      </c>
      <c r="AE770" s="53" t="s">
        <v>219</v>
      </c>
      <c r="AF770" s="23">
        <v>5</v>
      </c>
      <c r="AG770" s="23">
        <v>2</v>
      </c>
      <c r="AH770" s="23">
        <v>3</v>
      </c>
      <c r="AI770" s="23">
        <v>1</v>
      </c>
      <c r="AJ770" s="23">
        <v>1</v>
      </c>
      <c r="AK770" s="23">
        <v>0</v>
      </c>
      <c r="AL770" s="4"/>
    </row>
    <row r="771" spans="1:38" ht="32.25" customHeight="1" x14ac:dyDescent="0.3">
      <c r="A771" s="5">
        <v>764</v>
      </c>
      <c r="B771" s="320" t="s">
        <v>196</v>
      </c>
      <c r="C771" s="4" t="s">
        <v>1427</v>
      </c>
      <c r="D771" s="321" t="s">
        <v>215</v>
      </c>
      <c r="E771" s="122">
        <v>42</v>
      </c>
      <c r="F771" s="122">
        <v>1</v>
      </c>
      <c r="G771" s="122"/>
      <c r="H771" s="84" t="s">
        <v>1607</v>
      </c>
      <c r="I771" s="4" t="s">
        <v>247</v>
      </c>
      <c r="J771" s="4"/>
      <c r="K771" s="4" t="s">
        <v>801</v>
      </c>
      <c r="L771" s="310" t="s">
        <v>1498</v>
      </c>
      <c r="M771" s="132">
        <v>1977</v>
      </c>
      <c r="N771" s="132" t="s">
        <v>216</v>
      </c>
      <c r="O771" s="4">
        <v>9</v>
      </c>
      <c r="P771" s="4"/>
      <c r="Q771" s="23">
        <v>11</v>
      </c>
      <c r="R771" s="23">
        <v>402</v>
      </c>
      <c r="S771" s="23">
        <v>24047.51</v>
      </c>
      <c r="T771" s="23">
        <v>22091.01</v>
      </c>
      <c r="U771" s="23">
        <v>22091.01</v>
      </c>
      <c r="V771" s="4"/>
      <c r="W771" s="311" t="s">
        <v>218</v>
      </c>
      <c r="X771" s="312" t="s">
        <v>218</v>
      </c>
      <c r="Y771" s="122" t="s">
        <v>218</v>
      </c>
      <c r="Z771" s="312" t="s">
        <v>218</v>
      </c>
      <c r="AA771" s="122" t="s">
        <v>218</v>
      </c>
      <c r="AB771" s="313" t="str">
        <f t="shared" si="16"/>
        <v>да</v>
      </c>
      <c r="AC771" s="4" t="s">
        <v>219</v>
      </c>
      <c r="AD771" s="53" t="s">
        <v>218</v>
      </c>
      <c r="AE771" s="53" t="s">
        <v>219</v>
      </c>
      <c r="AF771" s="23">
        <v>11</v>
      </c>
      <c r="AG771" s="23">
        <v>8</v>
      </c>
      <c r="AH771" s="23">
        <v>4</v>
      </c>
      <c r="AI771" s="23">
        <v>4</v>
      </c>
      <c r="AJ771" s="23">
        <v>4</v>
      </c>
      <c r="AK771" s="23">
        <v>0</v>
      </c>
      <c r="AL771" s="4"/>
    </row>
    <row r="772" spans="1:38" ht="32.25" customHeight="1" x14ac:dyDescent="0.3">
      <c r="A772" s="80">
        <v>765</v>
      </c>
      <c r="B772" s="320" t="s">
        <v>196</v>
      </c>
      <c r="C772" s="4" t="s">
        <v>1427</v>
      </c>
      <c r="D772" s="321" t="s">
        <v>1476</v>
      </c>
      <c r="E772" s="122">
        <v>42</v>
      </c>
      <c r="F772" s="122">
        <v>3</v>
      </c>
      <c r="G772" s="122"/>
      <c r="H772" s="84" t="s">
        <v>1608</v>
      </c>
      <c r="I772" s="4" t="s">
        <v>247</v>
      </c>
      <c r="J772" s="4"/>
      <c r="K772" s="4" t="s">
        <v>801</v>
      </c>
      <c r="L772" s="310" t="s">
        <v>1498</v>
      </c>
      <c r="M772" s="132">
        <v>1977</v>
      </c>
      <c r="N772" s="132" t="s">
        <v>216</v>
      </c>
      <c r="O772" s="4">
        <v>9</v>
      </c>
      <c r="P772" s="4"/>
      <c r="Q772" s="23">
        <v>6</v>
      </c>
      <c r="R772" s="23">
        <v>215</v>
      </c>
      <c r="S772" s="23">
        <v>11765.72</v>
      </c>
      <c r="T772" s="23">
        <v>10766.82</v>
      </c>
      <c r="U772" s="23">
        <v>10766.82</v>
      </c>
      <c r="V772" s="4"/>
      <c r="W772" s="311" t="s">
        <v>218</v>
      </c>
      <c r="X772" s="312" t="s">
        <v>218</v>
      </c>
      <c r="Y772" s="122" t="s">
        <v>218</v>
      </c>
      <c r="Z772" s="312" t="s">
        <v>218</v>
      </c>
      <c r="AA772" s="122" t="s">
        <v>218</v>
      </c>
      <c r="AB772" s="313" t="str">
        <f t="shared" si="16"/>
        <v>да</v>
      </c>
      <c r="AC772" s="4" t="s">
        <v>219</v>
      </c>
      <c r="AD772" s="53" t="s">
        <v>218</v>
      </c>
      <c r="AE772" s="53" t="s">
        <v>219</v>
      </c>
      <c r="AF772" s="23">
        <v>6</v>
      </c>
      <c r="AG772" s="23">
        <v>4</v>
      </c>
      <c r="AH772" s="23">
        <v>1</v>
      </c>
      <c r="AI772" s="23">
        <v>2</v>
      </c>
      <c r="AJ772" s="23">
        <v>2</v>
      </c>
      <c r="AK772" s="23">
        <v>0</v>
      </c>
      <c r="AL772" s="4"/>
    </row>
    <row r="773" spans="1:38" ht="32.25" customHeight="1" x14ac:dyDescent="0.3">
      <c r="A773" s="5">
        <v>766</v>
      </c>
      <c r="B773" s="320" t="s">
        <v>196</v>
      </c>
      <c r="C773" s="4" t="s">
        <v>1427</v>
      </c>
      <c r="D773" s="321" t="s">
        <v>1479</v>
      </c>
      <c r="E773" s="122">
        <v>19</v>
      </c>
      <c r="F773" s="122">
        <v>4</v>
      </c>
      <c r="G773" s="122"/>
      <c r="H773" s="84" t="s">
        <v>1609</v>
      </c>
      <c r="I773" s="4" t="s">
        <v>247</v>
      </c>
      <c r="J773" s="4"/>
      <c r="K773" s="4" t="s">
        <v>801</v>
      </c>
      <c r="L773" s="310"/>
      <c r="M773" s="132">
        <v>1976</v>
      </c>
      <c r="N773" s="132" t="s">
        <v>216</v>
      </c>
      <c r="O773" s="4">
        <v>9</v>
      </c>
      <c r="P773" s="4"/>
      <c r="Q773" s="23">
        <v>2</v>
      </c>
      <c r="R773" s="23">
        <v>72</v>
      </c>
      <c r="S773" s="23">
        <v>4454.32</v>
      </c>
      <c r="T773" s="23">
        <v>4045.72</v>
      </c>
      <c r="U773" s="23">
        <v>4045.72</v>
      </c>
      <c r="V773" s="4"/>
      <c r="W773" s="311" t="s">
        <v>218</v>
      </c>
      <c r="X773" s="312" t="s">
        <v>218</v>
      </c>
      <c r="Y773" s="122" t="s">
        <v>218</v>
      </c>
      <c r="Z773" s="312" t="s">
        <v>218</v>
      </c>
      <c r="AA773" s="122" t="s">
        <v>218</v>
      </c>
      <c r="AB773" s="313" t="str">
        <f t="shared" si="16"/>
        <v>да</v>
      </c>
      <c r="AC773" s="4" t="s">
        <v>219</v>
      </c>
      <c r="AD773" s="53" t="s">
        <v>218</v>
      </c>
      <c r="AE773" s="53" t="s">
        <v>219</v>
      </c>
      <c r="AF773" s="23">
        <v>2</v>
      </c>
      <c r="AG773" s="23">
        <v>2</v>
      </c>
      <c r="AH773" s="23">
        <v>1</v>
      </c>
      <c r="AI773" s="23">
        <v>1</v>
      </c>
      <c r="AJ773" s="23">
        <v>1</v>
      </c>
      <c r="AK773" s="23">
        <v>0</v>
      </c>
      <c r="AL773" s="4"/>
    </row>
    <row r="774" spans="1:38" ht="32.25" customHeight="1" x14ac:dyDescent="0.3">
      <c r="A774" s="80">
        <v>767</v>
      </c>
      <c r="B774" s="320" t="s">
        <v>196</v>
      </c>
      <c r="C774" s="4" t="s">
        <v>1427</v>
      </c>
      <c r="D774" s="321" t="s">
        <v>1478</v>
      </c>
      <c r="E774" s="122">
        <v>25</v>
      </c>
      <c r="F774" s="122">
        <v>2</v>
      </c>
      <c r="G774" s="122"/>
      <c r="H774" s="84" t="s">
        <v>1610</v>
      </c>
      <c r="I774" s="4" t="s">
        <v>247</v>
      </c>
      <c r="J774" s="4"/>
      <c r="K774" s="4" t="s">
        <v>801</v>
      </c>
      <c r="L774" s="310" t="s">
        <v>1499</v>
      </c>
      <c r="M774" s="132">
        <v>1987</v>
      </c>
      <c r="N774" s="132" t="s">
        <v>216</v>
      </c>
      <c r="O774" s="4">
        <v>12</v>
      </c>
      <c r="P774" s="4"/>
      <c r="Q774" s="23">
        <v>6</v>
      </c>
      <c r="R774" s="23">
        <v>240</v>
      </c>
      <c r="S774" s="23">
        <v>17661.599999999999</v>
      </c>
      <c r="T774" s="23">
        <v>15053.7</v>
      </c>
      <c r="U774" s="23">
        <v>13460.6</v>
      </c>
      <c r="V774" s="4">
        <v>1593.1</v>
      </c>
      <c r="W774" s="311" t="s">
        <v>218</v>
      </c>
      <c r="X774" s="312" t="s">
        <v>218</v>
      </c>
      <c r="Y774" s="122" t="s">
        <v>218</v>
      </c>
      <c r="Z774" s="312" t="s">
        <v>218</v>
      </c>
      <c r="AA774" s="122" t="s">
        <v>218</v>
      </c>
      <c r="AB774" s="313" t="str">
        <f t="shared" si="16"/>
        <v>нет</v>
      </c>
      <c r="AC774" s="4" t="s">
        <v>219</v>
      </c>
      <c r="AD774" s="53" t="s">
        <v>219</v>
      </c>
      <c r="AE774" s="53" t="s">
        <v>218</v>
      </c>
      <c r="AF774" s="23">
        <v>12</v>
      </c>
      <c r="AG774" s="23">
        <v>3</v>
      </c>
      <c r="AH774" s="23">
        <v>4</v>
      </c>
      <c r="AI774" s="23">
        <v>1</v>
      </c>
      <c r="AJ774" s="23">
        <v>1</v>
      </c>
      <c r="AK774" s="23">
        <v>0</v>
      </c>
      <c r="AL774" s="4"/>
    </row>
    <row r="775" spans="1:38" ht="32.25" customHeight="1" x14ac:dyDescent="0.3">
      <c r="A775" s="5">
        <v>768</v>
      </c>
      <c r="B775" s="320" t="s">
        <v>196</v>
      </c>
      <c r="C775" s="4" t="s">
        <v>1407</v>
      </c>
      <c r="D775" s="321" t="s">
        <v>1485</v>
      </c>
      <c r="E775" s="122">
        <v>7</v>
      </c>
      <c r="F775" s="122">
        <v>2</v>
      </c>
      <c r="G775" s="122"/>
      <c r="H775" s="84" t="s">
        <v>1611</v>
      </c>
      <c r="I775" s="4" t="s">
        <v>247</v>
      </c>
      <c r="J775" s="4"/>
      <c r="K775" s="4" t="s">
        <v>801</v>
      </c>
      <c r="L775" s="310"/>
      <c r="M775" s="132">
        <v>1992</v>
      </c>
      <c r="N775" s="132" t="s">
        <v>216</v>
      </c>
      <c r="O775" s="4">
        <v>10</v>
      </c>
      <c r="P775" s="4"/>
      <c r="Q775" s="23">
        <v>2</v>
      </c>
      <c r="R775" s="23">
        <v>80</v>
      </c>
      <c r="S775" s="23">
        <v>5387.9</v>
      </c>
      <c r="T775" s="23">
        <v>4727.6000000000004</v>
      </c>
      <c r="U775" s="23">
        <v>4714.3</v>
      </c>
      <c r="V775" s="4">
        <v>13.3</v>
      </c>
      <c r="W775" s="311" t="s">
        <v>218</v>
      </c>
      <c r="X775" s="312" t="s">
        <v>218</v>
      </c>
      <c r="Y775" s="122" t="s">
        <v>218</v>
      </c>
      <c r="Z775" s="312" t="s">
        <v>218</v>
      </c>
      <c r="AA775" s="122" t="s">
        <v>218</v>
      </c>
      <c r="AB775" s="313" t="str">
        <f t="shared" si="16"/>
        <v>нет</v>
      </c>
      <c r="AC775" s="4" t="s">
        <v>219</v>
      </c>
      <c r="AD775" s="53" t="s">
        <v>219</v>
      </c>
      <c r="AE775" s="53" t="s">
        <v>218</v>
      </c>
      <c r="AF775" s="23">
        <v>2</v>
      </c>
      <c r="AG775" s="23">
        <v>1</v>
      </c>
      <c r="AH775" s="23">
        <v>2</v>
      </c>
      <c r="AI775" s="23">
        <v>1</v>
      </c>
      <c r="AJ775" s="23">
        <v>1</v>
      </c>
      <c r="AK775" s="23">
        <v>0</v>
      </c>
      <c r="AL775" s="4"/>
    </row>
    <row r="776" spans="1:38" ht="32.25" customHeight="1" x14ac:dyDescent="0.3">
      <c r="A776" s="80">
        <v>769</v>
      </c>
      <c r="B776" s="320" t="s">
        <v>196</v>
      </c>
      <c r="C776" s="4" t="s">
        <v>1407</v>
      </c>
      <c r="D776" s="321" t="s">
        <v>1500</v>
      </c>
      <c r="E776" s="122">
        <v>9</v>
      </c>
      <c r="F776" s="122"/>
      <c r="G776" s="122"/>
      <c r="H776" s="84" t="s">
        <v>1612</v>
      </c>
      <c r="I776" s="4" t="s">
        <v>247</v>
      </c>
      <c r="J776" s="4"/>
      <c r="K776" s="4" t="s">
        <v>801</v>
      </c>
      <c r="L776" s="310"/>
      <c r="M776" s="132">
        <v>1965</v>
      </c>
      <c r="N776" s="132" t="s">
        <v>216</v>
      </c>
      <c r="O776" s="4">
        <v>9</v>
      </c>
      <c r="P776" s="4"/>
      <c r="Q776" s="23">
        <v>9</v>
      </c>
      <c r="R776" s="23">
        <v>134</v>
      </c>
      <c r="S776" s="23">
        <v>6689.3</v>
      </c>
      <c r="T776" s="23">
        <v>6024.2</v>
      </c>
      <c r="U776" s="23">
        <v>6024.2</v>
      </c>
      <c r="V776" s="4"/>
      <c r="W776" s="311" t="s">
        <v>218</v>
      </c>
      <c r="X776" s="312" t="s">
        <v>218</v>
      </c>
      <c r="Y776" s="122" t="s">
        <v>218</v>
      </c>
      <c r="Z776" s="312" t="s">
        <v>218</v>
      </c>
      <c r="AA776" s="122" t="s">
        <v>218</v>
      </c>
      <c r="AB776" s="313" t="str">
        <f t="shared" si="16"/>
        <v>да</v>
      </c>
      <c r="AC776" s="4" t="s">
        <v>219</v>
      </c>
      <c r="AD776" s="53" t="s">
        <v>218</v>
      </c>
      <c r="AE776" s="53" t="s">
        <v>219</v>
      </c>
      <c r="AF776" s="23"/>
      <c r="AG776" s="23">
        <v>1</v>
      </c>
      <c r="AH776" s="23">
        <v>1</v>
      </c>
      <c r="AI776" s="23">
        <v>1</v>
      </c>
      <c r="AJ776" s="23">
        <v>1</v>
      </c>
      <c r="AK776" s="23">
        <v>0</v>
      </c>
      <c r="AL776" s="4"/>
    </row>
    <row r="777" spans="1:38" ht="32.25" customHeight="1" x14ac:dyDescent="0.3">
      <c r="A777" s="5">
        <v>770</v>
      </c>
      <c r="B777" s="320" t="s">
        <v>196</v>
      </c>
      <c r="C777" s="4" t="s">
        <v>1407</v>
      </c>
      <c r="D777" s="321" t="s">
        <v>1486</v>
      </c>
      <c r="E777" s="122">
        <v>13</v>
      </c>
      <c r="F777" s="122"/>
      <c r="G777" s="122"/>
      <c r="H777" s="84" t="s">
        <v>1613</v>
      </c>
      <c r="I777" s="4" t="s">
        <v>247</v>
      </c>
      <c r="J777" s="4"/>
      <c r="K777" s="4" t="s">
        <v>801</v>
      </c>
      <c r="L777" s="310"/>
      <c r="M777" s="132">
        <v>1965</v>
      </c>
      <c r="N777" s="132" t="s">
        <v>216</v>
      </c>
      <c r="O777" s="4">
        <v>9</v>
      </c>
      <c r="P777" s="4"/>
      <c r="Q777" s="23">
        <v>9</v>
      </c>
      <c r="R777" s="23">
        <v>134</v>
      </c>
      <c r="S777" s="23">
        <v>6657</v>
      </c>
      <c r="T777" s="23">
        <v>5998.1</v>
      </c>
      <c r="U777" s="23">
        <v>5998.1</v>
      </c>
      <c r="V777" s="4"/>
      <c r="W777" s="311" t="s">
        <v>218</v>
      </c>
      <c r="X777" s="312" t="s">
        <v>218</v>
      </c>
      <c r="Y777" s="122" t="s">
        <v>218</v>
      </c>
      <c r="Z777" s="312" t="s">
        <v>218</v>
      </c>
      <c r="AA777" s="122" t="s">
        <v>218</v>
      </c>
      <c r="AB777" s="313" t="str">
        <f t="shared" si="16"/>
        <v>да</v>
      </c>
      <c r="AC777" s="4" t="s">
        <v>219</v>
      </c>
      <c r="AD777" s="53" t="s">
        <v>218</v>
      </c>
      <c r="AE777" s="53" t="s">
        <v>219</v>
      </c>
      <c r="AF777" s="23"/>
      <c r="AG777" s="23">
        <v>1</v>
      </c>
      <c r="AH777" s="23">
        <v>1</v>
      </c>
      <c r="AI777" s="23">
        <v>1</v>
      </c>
      <c r="AJ777" s="23">
        <v>1</v>
      </c>
      <c r="AK777" s="23">
        <v>0</v>
      </c>
      <c r="AL777" s="4"/>
    </row>
    <row r="778" spans="1:38" ht="32.25" customHeight="1" x14ac:dyDescent="0.3">
      <c r="A778" s="80">
        <v>771</v>
      </c>
      <c r="B778" s="320" t="s">
        <v>196</v>
      </c>
      <c r="C778" s="4" t="s">
        <v>1407</v>
      </c>
      <c r="D778" s="321" t="s">
        <v>1485</v>
      </c>
      <c r="E778" s="122">
        <v>26</v>
      </c>
      <c r="F778" s="122"/>
      <c r="G778" s="122"/>
      <c r="H778" s="84" t="s">
        <v>1614</v>
      </c>
      <c r="I778" s="4" t="s">
        <v>247</v>
      </c>
      <c r="J778" s="4"/>
      <c r="K778" s="4" t="s">
        <v>801</v>
      </c>
      <c r="L778" s="310" t="s">
        <v>1414</v>
      </c>
      <c r="M778" s="132">
        <v>1968</v>
      </c>
      <c r="N778" s="132" t="s">
        <v>216</v>
      </c>
      <c r="O778" s="4">
        <v>9</v>
      </c>
      <c r="P778" s="4"/>
      <c r="Q778" s="23">
        <v>8</v>
      </c>
      <c r="R778" s="23">
        <v>159</v>
      </c>
      <c r="S778" s="23">
        <v>7961.81</v>
      </c>
      <c r="T778" s="23">
        <v>7043.41</v>
      </c>
      <c r="U778" s="23">
        <v>7043.41</v>
      </c>
      <c r="V778" s="4"/>
      <c r="W778" s="311" t="s">
        <v>218</v>
      </c>
      <c r="X778" s="312" t="s">
        <v>218</v>
      </c>
      <c r="Y778" s="122" t="s">
        <v>218</v>
      </c>
      <c r="Z778" s="312" t="s">
        <v>218</v>
      </c>
      <c r="AA778" s="122" t="s">
        <v>218</v>
      </c>
      <c r="AB778" s="313" t="str">
        <f t="shared" si="16"/>
        <v>да</v>
      </c>
      <c r="AC778" s="4" t="s">
        <v>219</v>
      </c>
      <c r="AD778" s="53" t="s">
        <v>218</v>
      </c>
      <c r="AE778" s="53" t="s">
        <v>219</v>
      </c>
      <c r="AF778" s="23"/>
      <c r="AG778" s="23">
        <v>1</v>
      </c>
      <c r="AH778" s="23">
        <v>1</v>
      </c>
      <c r="AI778" s="23">
        <v>2</v>
      </c>
      <c r="AJ778" s="23">
        <v>2</v>
      </c>
      <c r="AK778" s="23">
        <v>0</v>
      </c>
      <c r="AL778" s="4"/>
    </row>
    <row r="779" spans="1:38" ht="32.25" customHeight="1" x14ac:dyDescent="0.3">
      <c r="A779" s="5">
        <v>772</v>
      </c>
      <c r="B779" s="320" t="s">
        <v>196</v>
      </c>
      <c r="C779" s="4" t="s">
        <v>1407</v>
      </c>
      <c r="D779" s="321" t="s">
        <v>1485</v>
      </c>
      <c r="E779" s="122">
        <v>29</v>
      </c>
      <c r="F779" s="122"/>
      <c r="G779" s="122"/>
      <c r="H779" s="84" t="s">
        <v>1615</v>
      </c>
      <c r="I779" s="4" t="s">
        <v>247</v>
      </c>
      <c r="J779" s="4"/>
      <c r="K779" s="4" t="s">
        <v>801</v>
      </c>
      <c r="L779" s="310"/>
      <c r="M779" s="132">
        <v>1965</v>
      </c>
      <c r="N779" s="132" t="s">
        <v>216</v>
      </c>
      <c r="O779" s="4">
        <v>9</v>
      </c>
      <c r="P779" s="4"/>
      <c r="Q779" s="23">
        <v>9</v>
      </c>
      <c r="R779" s="23">
        <v>134</v>
      </c>
      <c r="S779" s="23">
        <v>6768.72</v>
      </c>
      <c r="T779" s="23">
        <v>6029.42</v>
      </c>
      <c r="U779" s="23">
        <v>6029.42</v>
      </c>
      <c r="V779" s="4"/>
      <c r="W779" s="311" t="s">
        <v>218</v>
      </c>
      <c r="X779" s="312" t="s">
        <v>218</v>
      </c>
      <c r="Y779" s="122" t="s">
        <v>218</v>
      </c>
      <c r="Z779" s="312" t="s">
        <v>218</v>
      </c>
      <c r="AA779" s="122" t="s">
        <v>218</v>
      </c>
      <c r="AB779" s="313" t="str">
        <f t="shared" si="16"/>
        <v>да</v>
      </c>
      <c r="AC779" s="4" t="s">
        <v>219</v>
      </c>
      <c r="AD779" s="53" t="s">
        <v>218</v>
      </c>
      <c r="AE779" s="53" t="s">
        <v>219</v>
      </c>
      <c r="AF779" s="23"/>
      <c r="AG779" s="23">
        <v>1</v>
      </c>
      <c r="AH779" s="23">
        <v>1</v>
      </c>
      <c r="AI779" s="23">
        <v>1</v>
      </c>
      <c r="AJ779" s="23">
        <v>1</v>
      </c>
      <c r="AK779" s="23">
        <v>0</v>
      </c>
      <c r="AL779" s="4"/>
    </row>
    <row r="780" spans="1:38" ht="32.25" customHeight="1" x14ac:dyDescent="0.3">
      <c r="A780" s="80">
        <v>773</v>
      </c>
      <c r="B780" s="320" t="s">
        <v>196</v>
      </c>
      <c r="C780" s="4" t="s">
        <v>1427</v>
      </c>
      <c r="D780" s="321" t="s">
        <v>1501</v>
      </c>
      <c r="E780" s="323" t="s">
        <v>1502</v>
      </c>
      <c r="F780" s="122"/>
      <c r="G780" s="122"/>
      <c r="H780" s="84" t="s">
        <v>1616</v>
      </c>
      <c r="I780" s="4" t="s">
        <v>247</v>
      </c>
      <c r="J780" s="4"/>
      <c r="K780" s="4" t="s">
        <v>801</v>
      </c>
      <c r="L780" s="310"/>
      <c r="M780" s="132">
        <v>1974</v>
      </c>
      <c r="N780" s="132" t="s">
        <v>216</v>
      </c>
      <c r="O780" s="4">
        <v>9</v>
      </c>
      <c r="P780" s="4"/>
      <c r="Q780" s="23">
        <v>5</v>
      </c>
      <c r="R780" s="23">
        <v>184</v>
      </c>
      <c r="S780" s="23">
        <v>11554.1</v>
      </c>
      <c r="T780" s="23">
        <v>10642.1</v>
      </c>
      <c r="U780" s="23">
        <v>10467.799999999999</v>
      </c>
      <c r="V780" s="4">
        <v>174.3</v>
      </c>
      <c r="W780" s="311" t="s">
        <v>218</v>
      </c>
      <c r="X780" s="312" t="s">
        <v>218</v>
      </c>
      <c r="Y780" s="122" t="s">
        <v>218</v>
      </c>
      <c r="Z780" s="312" t="s">
        <v>218</v>
      </c>
      <c r="AA780" s="122" t="s">
        <v>218</v>
      </c>
      <c r="AB780" s="313" t="str">
        <f t="shared" si="16"/>
        <v>да</v>
      </c>
      <c r="AC780" s="4" t="s">
        <v>219</v>
      </c>
      <c r="AD780" s="53" t="s">
        <v>218</v>
      </c>
      <c r="AE780" s="53" t="s">
        <v>219</v>
      </c>
      <c r="AF780" s="23">
        <v>2</v>
      </c>
      <c r="AG780" s="23">
        <v>1</v>
      </c>
      <c r="AH780" s="23">
        <v>1</v>
      </c>
      <c r="AI780" s="23">
        <v>3</v>
      </c>
      <c r="AJ780" s="23">
        <v>3</v>
      </c>
      <c r="AK780" s="23">
        <v>0</v>
      </c>
      <c r="AL780" s="4"/>
    </row>
    <row r="781" spans="1:38" ht="32.25" customHeight="1" x14ac:dyDescent="0.3">
      <c r="A781" s="5">
        <v>774</v>
      </c>
      <c r="B781" s="320" t="s">
        <v>196</v>
      </c>
      <c r="C781" s="4" t="s">
        <v>1427</v>
      </c>
      <c r="D781" s="321" t="s">
        <v>1491</v>
      </c>
      <c r="E781" s="323">
        <v>8</v>
      </c>
      <c r="F781" s="122">
        <v>1</v>
      </c>
      <c r="G781" s="122"/>
      <c r="H781" s="84" t="s">
        <v>1617</v>
      </c>
      <c r="I781" s="4" t="s">
        <v>247</v>
      </c>
      <c r="J781" s="4"/>
      <c r="K781" s="4" t="s">
        <v>801</v>
      </c>
      <c r="L781" s="310"/>
      <c r="M781" s="132">
        <v>1974</v>
      </c>
      <c r="N781" s="132" t="s">
        <v>216</v>
      </c>
      <c r="O781" s="4">
        <v>9</v>
      </c>
      <c r="P781" s="4"/>
      <c r="Q781" s="23">
        <v>9</v>
      </c>
      <c r="R781" s="23">
        <v>331</v>
      </c>
      <c r="S781" s="23">
        <v>16506.7</v>
      </c>
      <c r="T781" s="23">
        <v>12166.9</v>
      </c>
      <c r="U781" s="23">
        <v>12166.9</v>
      </c>
      <c r="V781" s="4"/>
      <c r="W781" s="311" t="s">
        <v>218</v>
      </c>
      <c r="X781" s="312" t="s">
        <v>218</v>
      </c>
      <c r="Y781" s="122" t="s">
        <v>218</v>
      </c>
      <c r="Z781" s="312" t="s">
        <v>218</v>
      </c>
      <c r="AA781" s="122" t="s">
        <v>218</v>
      </c>
      <c r="AB781" s="313" t="str">
        <f t="shared" si="16"/>
        <v>да</v>
      </c>
      <c r="AC781" s="4" t="s">
        <v>219</v>
      </c>
      <c r="AD781" s="53" t="s">
        <v>218</v>
      </c>
      <c r="AE781" s="53" t="s">
        <v>219</v>
      </c>
      <c r="AF781" s="23">
        <v>12</v>
      </c>
      <c r="AG781" s="23">
        <v>3</v>
      </c>
      <c r="AH781" s="23">
        <v>2</v>
      </c>
      <c r="AI781" s="23">
        <v>0</v>
      </c>
      <c r="AJ781" s="23">
        <v>0</v>
      </c>
      <c r="AK781" s="23">
        <v>0</v>
      </c>
      <c r="AL781" s="4"/>
    </row>
    <row r="782" spans="1:38" ht="32.25" customHeight="1" x14ac:dyDescent="0.3">
      <c r="A782" s="80">
        <v>775</v>
      </c>
      <c r="B782" s="4" t="s">
        <v>196</v>
      </c>
      <c r="C782" s="4" t="s">
        <v>1427</v>
      </c>
      <c r="D782" s="321" t="s">
        <v>1493</v>
      </c>
      <c r="E782" s="323" t="s">
        <v>1503</v>
      </c>
      <c r="F782" s="122"/>
      <c r="G782" s="122"/>
      <c r="H782" s="84" t="s">
        <v>1618</v>
      </c>
      <c r="I782" s="4" t="s">
        <v>247</v>
      </c>
      <c r="J782" s="4"/>
      <c r="K782" s="4" t="s">
        <v>801</v>
      </c>
      <c r="L782" s="310" t="s">
        <v>1498</v>
      </c>
      <c r="M782" s="132">
        <v>1974</v>
      </c>
      <c r="N782" s="132" t="s">
        <v>216</v>
      </c>
      <c r="O782" s="4">
        <v>9</v>
      </c>
      <c r="P782" s="4"/>
      <c r="Q782" s="23">
        <v>15</v>
      </c>
      <c r="R782" s="23">
        <v>547</v>
      </c>
      <c r="S782" s="23">
        <v>20439</v>
      </c>
      <c r="T782" s="23">
        <v>17878</v>
      </c>
      <c r="U782" s="23">
        <v>17878</v>
      </c>
      <c r="V782" s="4"/>
      <c r="W782" s="311" t="s">
        <v>218</v>
      </c>
      <c r="X782" s="312" t="s">
        <v>218</v>
      </c>
      <c r="Y782" s="122" t="s">
        <v>218</v>
      </c>
      <c r="Z782" s="312" t="s">
        <v>218</v>
      </c>
      <c r="AA782" s="122" t="s">
        <v>218</v>
      </c>
      <c r="AB782" s="313" t="str">
        <f t="shared" si="16"/>
        <v>да</v>
      </c>
      <c r="AC782" s="4" t="s">
        <v>219</v>
      </c>
      <c r="AD782" s="53" t="s">
        <v>218</v>
      </c>
      <c r="AE782" s="53" t="s">
        <v>219</v>
      </c>
      <c r="AF782" s="23">
        <v>15</v>
      </c>
      <c r="AG782" s="23">
        <v>4</v>
      </c>
      <c r="AH782" s="23">
        <v>2</v>
      </c>
      <c r="AI782" s="23">
        <v>4</v>
      </c>
      <c r="AJ782" s="23">
        <v>4</v>
      </c>
      <c r="AK782" s="23">
        <v>0</v>
      </c>
      <c r="AL782" s="4"/>
    </row>
    <row r="783" spans="1:38" s="81" customFormat="1" ht="32.25" customHeight="1" x14ac:dyDescent="0.3">
      <c r="A783" s="283" t="s">
        <v>57</v>
      </c>
      <c r="B783" s="84"/>
      <c r="H783" s="264"/>
      <c r="I783" s="239"/>
      <c r="J783" s="239"/>
      <c r="K783" s="239"/>
      <c r="L783" s="118"/>
      <c r="M783" s="239"/>
      <c r="N783" s="239"/>
      <c r="O783" s="239"/>
      <c r="P783" s="239"/>
      <c r="R783" s="239"/>
      <c r="S783" s="239"/>
      <c r="T783" s="239"/>
      <c r="W783" s="239"/>
      <c r="X783" s="239"/>
      <c r="Y783" s="277"/>
      <c r="Z783" s="239"/>
      <c r="AA783" s="239"/>
      <c r="AB783" s="239"/>
      <c r="AC783" s="277"/>
      <c r="AD783" s="239"/>
      <c r="AE783" s="277"/>
      <c r="AF783" s="239"/>
      <c r="AG783" s="239"/>
      <c r="AH783" s="239"/>
      <c r="AI783" s="239"/>
      <c r="AJ783" s="239"/>
    </row>
    <row r="784" spans="1:38" s="83" customFormat="1" ht="32.25" customHeight="1" x14ac:dyDescent="0.3">
      <c r="B784" s="86"/>
      <c r="D784" s="284"/>
      <c r="H784" s="285"/>
      <c r="I784" s="244"/>
      <c r="J784" s="244"/>
      <c r="K784" s="244"/>
      <c r="L784" s="257"/>
      <c r="M784" s="244"/>
      <c r="N784" s="244"/>
      <c r="O784" s="244"/>
      <c r="P784" s="244"/>
      <c r="R784" s="244"/>
      <c r="S784" s="244"/>
      <c r="T784" s="244"/>
      <c r="Y784" s="278"/>
      <c r="AC784" s="278"/>
      <c r="AE784" s="278"/>
    </row>
  </sheetData>
  <mergeCells count="2">
    <mergeCell ref="AG5:AK5"/>
    <mergeCell ref="AL5:AL6"/>
  </mergeCells>
  <phoneticPr fontId="11" type="noConversion"/>
  <pageMargins left="0.25" right="0.25" top="0.75" bottom="0.75" header="0.3" footer="0.3"/>
  <pageSetup paperSize="9" scale="46" fitToWidth="0" fitToHeight="0" orientation="landscape" r:id="rId1"/>
  <headerFooter>
    <oddFooter>Страница  &amp;P из &amp;N</oddFooter>
  </headerFooter>
  <colBreaks count="1" manualBreakCount="1">
    <brk id="18" max="7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1"/>
  <sheetViews>
    <sheetView view="pageBreakPreview" zoomScaleNormal="60" zoomScaleSheetLayoutView="100" workbookViewId="0">
      <selection activeCell="M3" sqref="M3"/>
    </sheetView>
  </sheetViews>
  <sheetFormatPr defaultColWidth="9.109375" defaultRowHeight="15.6" x14ac:dyDescent="0.3"/>
  <cols>
    <col min="1" max="1" width="5.44140625" style="1" customWidth="1"/>
    <col min="2" max="5" width="9.6640625" style="1" customWidth="1"/>
    <col min="6" max="7" width="10.88671875" style="1" customWidth="1"/>
    <col min="8" max="9" width="9.6640625" style="1" customWidth="1"/>
    <col min="10" max="10" width="17" style="1" customWidth="1"/>
    <col min="11" max="12" width="9.6640625" style="1" customWidth="1"/>
    <col min="13" max="13" width="12.88671875" style="1" customWidth="1"/>
    <col min="14" max="14" width="10.5546875" style="1" customWidth="1"/>
    <col min="15" max="15" width="16.88671875" style="1" customWidth="1"/>
    <col min="16" max="18" width="9.6640625" style="1" customWidth="1"/>
    <col min="19" max="20" width="8.6640625" style="1" customWidth="1"/>
    <col min="21" max="22" width="8.88671875" style="1" customWidth="1"/>
    <col min="23" max="23" width="10.44140625" style="1" customWidth="1"/>
    <col min="24" max="25" width="9.6640625" style="1" customWidth="1"/>
    <col min="26" max="26" width="11.44140625" style="1" customWidth="1"/>
    <col min="27" max="27" width="9.6640625" style="1" customWidth="1"/>
    <col min="28" max="28" width="18.44140625" style="1" customWidth="1"/>
    <col min="29" max="16384" width="9.109375" style="1"/>
  </cols>
  <sheetData>
    <row r="1" spans="1:22" x14ac:dyDescent="0.3">
      <c r="A1" s="1" t="s">
        <v>122</v>
      </c>
      <c r="M1" s="39" t="s">
        <v>119</v>
      </c>
      <c r="U1" s="2"/>
      <c r="V1" s="2"/>
    </row>
    <row r="2" spans="1:22" x14ac:dyDescent="0.3">
      <c r="M2" s="1" t="s">
        <v>120</v>
      </c>
      <c r="U2" s="2"/>
      <c r="V2" s="2"/>
    </row>
    <row r="3" spans="1:22" x14ac:dyDescent="0.3">
      <c r="A3" s="53"/>
      <c r="B3" s="17" t="s">
        <v>33</v>
      </c>
      <c r="M3" s="1" t="s">
        <v>121</v>
      </c>
    </row>
    <row r="4" spans="1:22" x14ac:dyDescent="0.3">
      <c r="A4" s="53"/>
      <c r="B4" s="17" t="s">
        <v>115</v>
      </c>
      <c r="M4" s="47" t="s">
        <v>118</v>
      </c>
    </row>
    <row r="5" spans="1:22" x14ac:dyDescent="0.3">
      <c r="A5" s="53"/>
      <c r="B5" s="17" t="s">
        <v>116</v>
      </c>
      <c r="M5" s="47"/>
    </row>
    <row r="6" spans="1:22" x14ac:dyDescent="0.3">
      <c r="A6" s="60"/>
      <c r="B6" s="17" t="s">
        <v>151</v>
      </c>
    </row>
    <row r="7" spans="1:22" x14ac:dyDescent="0.3">
      <c r="A7" s="53"/>
      <c r="B7" s="17" t="s">
        <v>150</v>
      </c>
    </row>
    <row r="8" spans="1:22" x14ac:dyDescent="0.3">
      <c r="A8" s="53"/>
      <c r="B8" s="67" t="s">
        <v>155</v>
      </c>
    </row>
    <row r="9" spans="1:22" x14ac:dyDescent="0.3">
      <c r="A9" s="53"/>
      <c r="B9" s="67" t="s">
        <v>152</v>
      </c>
    </row>
    <row r="10" spans="1:22" x14ac:dyDescent="0.3">
      <c r="A10" s="53"/>
      <c r="B10" s="17"/>
      <c r="C10" s="1" t="s">
        <v>147</v>
      </c>
    </row>
    <row r="11" spans="1:22" x14ac:dyDescent="0.3">
      <c r="A11" s="53"/>
      <c r="B11" s="67" t="s">
        <v>156</v>
      </c>
    </row>
    <row r="12" spans="1:22" x14ac:dyDescent="0.3">
      <c r="A12" s="53"/>
      <c r="C12" s="17" t="s">
        <v>157</v>
      </c>
    </row>
    <row r="13" spans="1:22" x14ac:dyDescent="0.3">
      <c r="A13" s="53"/>
      <c r="C13" s="17" t="s">
        <v>148</v>
      </c>
    </row>
    <row r="14" spans="1:22" x14ac:dyDescent="0.3">
      <c r="A14" s="53"/>
      <c r="B14" s="17" t="s">
        <v>64</v>
      </c>
    </row>
    <row r="15" spans="1:22" x14ac:dyDescent="0.3">
      <c r="A15" s="54"/>
      <c r="B15" s="17" t="s">
        <v>65</v>
      </c>
    </row>
    <row r="16" spans="1:22" x14ac:dyDescent="0.3">
      <c r="A16" s="54"/>
      <c r="B16" s="17" t="s">
        <v>66</v>
      </c>
    </row>
    <row r="17" spans="1:17" x14ac:dyDescent="0.3">
      <c r="A17" s="54"/>
      <c r="B17" s="17" t="s">
        <v>67</v>
      </c>
    </row>
    <row r="18" spans="1:17" x14ac:dyDescent="0.3">
      <c r="A18" s="54"/>
      <c r="B18" s="17" t="s">
        <v>136</v>
      </c>
    </row>
    <row r="19" spans="1:17" x14ac:dyDescent="0.3">
      <c r="A19" s="54"/>
      <c r="B19" s="17" t="s">
        <v>68</v>
      </c>
    </row>
    <row r="20" spans="1:17" x14ac:dyDescent="0.3">
      <c r="A20" s="54"/>
      <c r="B20" s="17" t="s">
        <v>137</v>
      </c>
      <c r="M20" s="69" t="s">
        <v>158</v>
      </c>
      <c r="N20" s="68"/>
      <c r="O20" s="68"/>
      <c r="P20" s="68"/>
      <c r="Q20" s="68"/>
    </row>
    <row r="21" spans="1:17" x14ac:dyDescent="0.3">
      <c r="A21" s="54"/>
      <c r="B21" s="17" t="s">
        <v>69</v>
      </c>
      <c r="M21" s="70" t="s">
        <v>160</v>
      </c>
      <c r="N21" s="68" t="s">
        <v>178</v>
      </c>
      <c r="O21" s="68"/>
      <c r="P21" s="68"/>
      <c r="Q21" s="68"/>
    </row>
    <row r="22" spans="1:17" x14ac:dyDescent="0.3">
      <c r="A22" s="55"/>
      <c r="B22" s="17" t="s">
        <v>70</v>
      </c>
      <c r="M22" s="70" t="s">
        <v>161</v>
      </c>
      <c r="N22" s="68" t="s">
        <v>179</v>
      </c>
      <c r="O22" s="68"/>
      <c r="P22" s="68"/>
      <c r="Q22" s="68"/>
    </row>
    <row r="23" spans="1:17" x14ac:dyDescent="0.3">
      <c r="A23" s="55"/>
      <c r="B23" s="21" t="s">
        <v>89</v>
      </c>
      <c r="M23" s="70" t="s">
        <v>162</v>
      </c>
      <c r="N23" s="68" t="s">
        <v>180</v>
      </c>
      <c r="O23" s="68"/>
      <c r="P23" s="68"/>
      <c r="Q23" s="68"/>
    </row>
    <row r="24" spans="1:17" x14ac:dyDescent="0.3">
      <c r="A24" s="55"/>
      <c r="B24" s="17" t="s">
        <v>71</v>
      </c>
      <c r="M24" s="70" t="s">
        <v>163</v>
      </c>
      <c r="N24" s="68" t="s">
        <v>181</v>
      </c>
      <c r="O24" s="68"/>
      <c r="P24" s="68"/>
      <c r="Q24" s="68"/>
    </row>
    <row r="25" spans="1:17" x14ac:dyDescent="0.3">
      <c r="A25" s="55"/>
      <c r="B25" s="17" t="s">
        <v>72</v>
      </c>
      <c r="M25" s="70" t="s">
        <v>164</v>
      </c>
      <c r="N25" s="68" t="s">
        <v>182</v>
      </c>
      <c r="O25" s="68"/>
      <c r="P25" s="68"/>
      <c r="Q25" s="68"/>
    </row>
    <row r="26" spans="1:17" x14ac:dyDescent="0.3">
      <c r="A26" s="56"/>
      <c r="B26" s="21" t="s">
        <v>73</v>
      </c>
      <c r="L26" s="21"/>
      <c r="M26" s="70" t="s">
        <v>165</v>
      </c>
      <c r="N26" s="68" t="s">
        <v>183</v>
      </c>
      <c r="O26" s="68"/>
      <c r="P26" s="68"/>
      <c r="Q26" s="68"/>
    </row>
    <row r="27" spans="1:17" s="18" customFormat="1" x14ac:dyDescent="0.3">
      <c r="A27" s="57"/>
      <c r="B27" s="17" t="s">
        <v>74</v>
      </c>
      <c r="L27" s="17"/>
      <c r="M27" s="70" t="s">
        <v>166</v>
      </c>
      <c r="N27" s="68" t="s">
        <v>184</v>
      </c>
      <c r="O27" s="68"/>
      <c r="P27" s="68"/>
      <c r="Q27" s="68"/>
    </row>
    <row r="28" spans="1:17" s="18" customFormat="1" x14ac:dyDescent="0.3">
      <c r="A28" s="57"/>
      <c r="B28" s="17" t="s">
        <v>75</v>
      </c>
      <c r="L28" s="17"/>
      <c r="M28" s="70" t="s">
        <v>167</v>
      </c>
      <c r="N28" s="68" t="s">
        <v>185</v>
      </c>
      <c r="O28" s="68"/>
      <c r="P28" s="68"/>
      <c r="Q28" s="68"/>
    </row>
    <row r="29" spans="1:17" s="18" customFormat="1" x14ac:dyDescent="0.3">
      <c r="A29" s="57"/>
      <c r="B29" s="17" t="s">
        <v>76</v>
      </c>
      <c r="L29" s="17"/>
      <c r="M29" s="70" t="s">
        <v>168</v>
      </c>
      <c r="N29" s="68" t="s">
        <v>186</v>
      </c>
      <c r="O29" s="68"/>
      <c r="P29" s="68"/>
      <c r="Q29" s="68"/>
    </row>
    <row r="30" spans="1:17" s="18" customFormat="1" x14ac:dyDescent="0.3">
      <c r="A30" s="57"/>
      <c r="B30" s="17" t="s">
        <v>77</v>
      </c>
      <c r="L30" s="17"/>
      <c r="M30" s="70" t="s">
        <v>169</v>
      </c>
      <c r="N30" s="68" t="s">
        <v>187</v>
      </c>
      <c r="O30" s="68"/>
      <c r="P30" s="68"/>
      <c r="Q30" s="68"/>
    </row>
    <row r="31" spans="1:17" s="18" customFormat="1" x14ac:dyDescent="0.3">
      <c r="A31" s="57"/>
      <c r="B31" s="17" t="s">
        <v>78</v>
      </c>
      <c r="L31" s="17"/>
      <c r="M31" s="70" t="s">
        <v>170</v>
      </c>
      <c r="N31" s="68" t="s">
        <v>188</v>
      </c>
      <c r="O31" s="68"/>
      <c r="P31" s="68"/>
      <c r="Q31" s="68"/>
    </row>
    <row r="32" spans="1:17" s="18" customFormat="1" x14ac:dyDescent="0.3">
      <c r="A32" s="57"/>
      <c r="B32" s="21" t="s">
        <v>79</v>
      </c>
      <c r="L32" s="21"/>
      <c r="M32" s="70" t="s">
        <v>171</v>
      </c>
      <c r="N32" s="68" t="s">
        <v>189</v>
      </c>
      <c r="O32" s="68"/>
      <c r="P32" s="68"/>
      <c r="Q32" s="68"/>
    </row>
    <row r="33" spans="1:17" s="17" customFormat="1" x14ac:dyDescent="0.3">
      <c r="A33" s="58"/>
      <c r="B33" s="21" t="s">
        <v>80</v>
      </c>
      <c r="L33" s="21"/>
      <c r="M33" s="70" t="s">
        <v>172</v>
      </c>
      <c r="N33" s="68" t="s">
        <v>190</v>
      </c>
      <c r="O33" s="68"/>
      <c r="P33" s="68"/>
      <c r="Q33" s="68"/>
    </row>
    <row r="34" spans="1:17" s="17" customFormat="1" x14ac:dyDescent="0.3">
      <c r="A34" s="58"/>
      <c r="B34" s="21" t="s">
        <v>81</v>
      </c>
      <c r="L34" s="21"/>
      <c r="M34" s="70" t="s">
        <v>173</v>
      </c>
      <c r="N34" s="68" t="s">
        <v>191</v>
      </c>
      <c r="O34" s="68"/>
      <c r="P34" s="68"/>
      <c r="Q34" s="68"/>
    </row>
    <row r="35" spans="1:17" x14ac:dyDescent="0.3">
      <c r="A35" s="56"/>
      <c r="B35" s="1" t="s">
        <v>106</v>
      </c>
      <c r="M35" s="70" t="s">
        <v>174</v>
      </c>
      <c r="N35" s="68" t="s">
        <v>192</v>
      </c>
      <c r="O35" s="68"/>
      <c r="P35" s="68"/>
      <c r="Q35" s="68"/>
    </row>
    <row r="36" spans="1:17" x14ac:dyDescent="0.3">
      <c r="A36" s="59"/>
      <c r="B36" s="1" t="s">
        <v>107</v>
      </c>
      <c r="M36" s="70" t="s">
        <v>175</v>
      </c>
      <c r="N36" s="68" t="s">
        <v>193</v>
      </c>
      <c r="O36" s="68"/>
      <c r="P36" s="68"/>
      <c r="Q36" s="68"/>
    </row>
    <row r="37" spans="1:17" x14ac:dyDescent="0.3">
      <c r="A37" s="59"/>
      <c r="B37" s="1" t="s">
        <v>108</v>
      </c>
      <c r="M37" s="70" t="s">
        <v>176</v>
      </c>
      <c r="N37" s="68" t="s">
        <v>194</v>
      </c>
      <c r="O37" s="68"/>
      <c r="P37" s="68"/>
      <c r="Q37" s="68"/>
    </row>
    <row r="38" spans="1:17" x14ac:dyDescent="0.3">
      <c r="A38" s="59"/>
      <c r="B38" s="1" t="s">
        <v>109</v>
      </c>
      <c r="M38" s="70" t="s">
        <v>177</v>
      </c>
      <c r="N38" s="68" t="s">
        <v>195</v>
      </c>
      <c r="O38" s="68"/>
      <c r="P38" s="68"/>
      <c r="Q38" s="68"/>
    </row>
    <row r="39" spans="1:17" x14ac:dyDescent="0.3">
      <c r="A39" s="59"/>
      <c r="B39" s="1" t="s">
        <v>110</v>
      </c>
      <c r="M39" s="68"/>
      <c r="N39" s="68"/>
      <c r="O39" s="68"/>
      <c r="P39" s="68"/>
      <c r="Q39" s="68"/>
    </row>
    <row r="40" spans="1:17" x14ac:dyDescent="0.3">
      <c r="A40" s="59"/>
      <c r="B40" s="1" t="s">
        <v>111</v>
      </c>
      <c r="M40" s="68"/>
      <c r="N40" s="68"/>
      <c r="O40" s="68"/>
      <c r="P40" s="68"/>
      <c r="Q40" s="68"/>
    </row>
    <row r="41" spans="1:17" x14ac:dyDescent="0.3">
      <c r="A41" s="4"/>
      <c r="B41" s="1" t="s">
        <v>149</v>
      </c>
      <c r="M41" s="68"/>
      <c r="N41" s="68"/>
      <c r="O41" s="68"/>
      <c r="P41" s="68"/>
      <c r="Q41" s="68"/>
    </row>
  </sheetData>
  <phoneticPr fontId="11" type="noConversion"/>
  <pageMargins left="0.25" right="0.25" top="0.75" bottom="0.75" header="0.3" footer="0.3"/>
  <pageSetup paperSize="9" scale="75" fitToWidth="0" orientation="landscape" r:id="rId1"/>
  <headerFooter>
    <oddFooter>Страница  &amp;P из &amp;N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86"/>
  <sheetViews>
    <sheetView view="pageBreakPreview" zoomScale="60" zoomScaleNormal="90" workbookViewId="0">
      <selection activeCell="D12" sqref="D12"/>
    </sheetView>
  </sheetViews>
  <sheetFormatPr defaultColWidth="9.109375" defaultRowHeight="15" customHeight="1" x14ac:dyDescent="0.25"/>
  <cols>
    <col min="1" max="1" width="9.6640625" style="134" customWidth="1"/>
    <col min="2" max="2" width="11.5546875" style="10" customWidth="1"/>
    <col min="3" max="3" width="12.88671875" style="10" customWidth="1"/>
    <col min="4" max="4" width="17" style="10" customWidth="1"/>
    <col min="5" max="5" width="19" style="10" customWidth="1"/>
    <col min="6" max="6" width="19.5546875" style="10" customWidth="1"/>
    <col min="7" max="7" width="16.33203125" style="10" customWidth="1"/>
    <col min="8" max="8" width="12.44140625" style="10" customWidth="1"/>
    <col min="9" max="9" width="11.6640625" style="10" customWidth="1"/>
    <col min="10" max="10" width="12.33203125" style="10" customWidth="1"/>
    <col min="11" max="15" width="11.6640625" style="10" customWidth="1"/>
    <col min="16" max="16" width="10.6640625" style="10" customWidth="1"/>
    <col min="17" max="18" width="12.33203125" style="10" customWidth="1"/>
    <col min="19" max="19" width="10.88671875" style="10" customWidth="1"/>
    <col min="20" max="20" width="10.33203125" style="10" customWidth="1"/>
    <col min="21" max="22" width="10.6640625" style="10" customWidth="1"/>
    <col min="23" max="34" width="8.6640625" style="10" customWidth="1"/>
    <col min="35" max="46" width="7.33203125" style="10" customWidth="1"/>
    <col min="47" max="47" width="13.88671875" style="10" customWidth="1"/>
    <col min="48" max="48" width="9.88671875" style="10" customWidth="1"/>
    <col min="49" max="49" width="13" style="10" customWidth="1"/>
    <col min="50" max="50" width="17" style="10" customWidth="1"/>
    <col min="51" max="51" width="14.33203125" style="10" customWidth="1"/>
    <col min="52" max="52" width="16.109375" style="10" customWidth="1"/>
    <col min="53" max="16384" width="9.109375" style="10"/>
  </cols>
  <sheetData>
    <row r="1" spans="1:52" ht="15" customHeight="1" x14ac:dyDescent="0.25">
      <c r="A1" s="238" t="s">
        <v>52</v>
      </c>
    </row>
    <row r="2" spans="1:52" ht="15" customHeight="1" x14ac:dyDescent="0.3">
      <c r="A2" s="236"/>
      <c r="C2" s="27" t="s">
        <v>124</v>
      </c>
    </row>
    <row r="3" spans="1:52" ht="15" customHeight="1" x14ac:dyDescent="0.3">
      <c r="A3" s="135"/>
      <c r="C3" s="27" t="s">
        <v>125</v>
      </c>
    </row>
    <row r="4" spans="1:52" ht="15" customHeight="1" x14ac:dyDescent="0.25">
      <c r="A4" s="236"/>
    </row>
    <row r="5" spans="1:52" s="7" customFormat="1" ht="15" customHeight="1" x14ac:dyDescent="0.3">
      <c r="A5" s="409" t="s">
        <v>22</v>
      </c>
      <c r="B5" s="413" t="s">
        <v>2</v>
      </c>
      <c r="C5" s="411" t="s">
        <v>24</v>
      </c>
      <c r="D5" s="416" t="s">
        <v>83</v>
      </c>
      <c r="E5" s="416" t="s">
        <v>88</v>
      </c>
      <c r="F5" s="411" t="s">
        <v>84</v>
      </c>
      <c r="G5" s="411" t="s">
        <v>51</v>
      </c>
      <c r="H5" s="411" t="s">
        <v>3</v>
      </c>
      <c r="I5" s="419" t="s">
        <v>85</v>
      </c>
      <c r="J5" s="394" t="s">
        <v>93</v>
      </c>
      <c r="K5" s="394" t="s">
        <v>94</v>
      </c>
      <c r="L5" s="394" t="s">
        <v>95</v>
      </c>
      <c r="M5" s="394" t="s">
        <v>96</v>
      </c>
      <c r="N5" s="394" t="s">
        <v>97</v>
      </c>
      <c r="O5" s="394" t="s">
        <v>98</v>
      </c>
      <c r="P5" s="394" t="s">
        <v>99</v>
      </c>
      <c r="Q5" s="394" t="s">
        <v>100</v>
      </c>
      <c r="R5" s="394" t="s">
        <v>101</v>
      </c>
      <c r="S5" s="394" t="s">
        <v>102</v>
      </c>
      <c r="T5" s="394" t="s">
        <v>117</v>
      </c>
      <c r="U5" s="403" t="s">
        <v>44</v>
      </c>
      <c r="V5" s="404"/>
      <c r="W5" s="404"/>
      <c r="X5" s="404"/>
      <c r="Y5" s="404"/>
      <c r="Z5" s="404"/>
      <c r="AA5" s="404"/>
      <c r="AB5" s="404"/>
      <c r="AC5" s="404"/>
      <c r="AD5" s="404"/>
      <c r="AE5" s="404"/>
      <c r="AF5" s="404"/>
      <c r="AG5" s="404"/>
      <c r="AH5" s="404"/>
      <c r="AI5" s="404"/>
      <c r="AJ5" s="404"/>
      <c r="AK5" s="404"/>
      <c r="AL5" s="404"/>
      <c r="AM5" s="404"/>
      <c r="AN5" s="404"/>
      <c r="AO5" s="404"/>
      <c r="AP5" s="404"/>
      <c r="AQ5" s="404"/>
      <c r="AR5" s="404"/>
      <c r="AS5" s="404"/>
      <c r="AT5" s="404"/>
      <c r="AU5" s="405"/>
      <c r="AV5" s="399" t="s">
        <v>141</v>
      </c>
      <c r="AW5" s="399" t="s">
        <v>140</v>
      </c>
      <c r="AX5" s="399" t="s">
        <v>142</v>
      </c>
      <c r="AY5" s="399" t="s">
        <v>90</v>
      </c>
      <c r="AZ5" s="399" t="s">
        <v>143</v>
      </c>
    </row>
    <row r="6" spans="1:52" s="7" customFormat="1" ht="15" customHeight="1" x14ac:dyDescent="0.3">
      <c r="A6" s="410"/>
      <c r="B6" s="414"/>
      <c r="C6" s="411"/>
      <c r="D6" s="417"/>
      <c r="E6" s="417"/>
      <c r="F6" s="411"/>
      <c r="G6" s="411"/>
      <c r="H6" s="411"/>
      <c r="I6" s="420"/>
      <c r="J6" s="395"/>
      <c r="K6" s="395"/>
      <c r="L6" s="395"/>
      <c r="M6" s="395"/>
      <c r="N6" s="395"/>
      <c r="O6" s="395"/>
      <c r="P6" s="395"/>
      <c r="Q6" s="395"/>
      <c r="R6" s="395"/>
      <c r="S6" s="395"/>
      <c r="T6" s="395"/>
      <c r="U6" s="406" t="s">
        <v>45</v>
      </c>
      <c r="V6" s="406" t="s">
        <v>46</v>
      </c>
      <c r="W6" s="400" t="s">
        <v>43</v>
      </c>
      <c r="X6" s="401"/>
      <c r="Y6" s="401"/>
      <c r="Z6" s="401"/>
      <c r="AA6" s="401"/>
      <c r="AB6" s="401"/>
      <c r="AC6" s="401"/>
      <c r="AD6" s="401"/>
      <c r="AE6" s="401"/>
      <c r="AF6" s="401"/>
      <c r="AG6" s="401"/>
      <c r="AH6" s="401"/>
      <c r="AI6" s="401"/>
      <c r="AJ6" s="401"/>
      <c r="AK6" s="401"/>
      <c r="AL6" s="401"/>
      <c r="AM6" s="401"/>
      <c r="AN6" s="401"/>
      <c r="AO6" s="401"/>
      <c r="AP6" s="401"/>
      <c r="AQ6" s="401"/>
      <c r="AR6" s="401"/>
      <c r="AS6" s="401"/>
      <c r="AT6" s="401"/>
      <c r="AU6" s="402"/>
      <c r="AV6" s="399"/>
      <c r="AW6" s="399"/>
      <c r="AX6" s="399"/>
      <c r="AY6" s="399"/>
      <c r="AZ6" s="399"/>
    </row>
    <row r="7" spans="1:52" s="7" customFormat="1" ht="15" customHeight="1" x14ac:dyDescent="0.3">
      <c r="A7" s="409"/>
      <c r="B7" s="414"/>
      <c r="C7" s="412"/>
      <c r="D7" s="417"/>
      <c r="E7" s="417"/>
      <c r="F7" s="412"/>
      <c r="G7" s="412"/>
      <c r="H7" s="412"/>
      <c r="I7" s="420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407"/>
      <c r="V7" s="407"/>
      <c r="W7" s="397" t="s">
        <v>5</v>
      </c>
      <c r="X7" s="398"/>
      <c r="Y7" s="397" t="s">
        <v>6</v>
      </c>
      <c r="Z7" s="398"/>
      <c r="AA7" s="397" t="s">
        <v>7</v>
      </c>
      <c r="AB7" s="398"/>
      <c r="AC7" s="397" t="s">
        <v>8</v>
      </c>
      <c r="AD7" s="398"/>
      <c r="AE7" s="397" t="s">
        <v>9</v>
      </c>
      <c r="AF7" s="398"/>
      <c r="AG7" s="397" t="s">
        <v>10</v>
      </c>
      <c r="AH7" s="398"/>
      <c r="AI7" s="397" t="s">
        <v>11</v>
      </c>
      <c r="AJ7" s="398"/>
      <c r="AK7" s="397" t="s">
        <v>12</v>
      </c>
      <c r="AL7" s="398"/>
      <c r="AM7" s="397" t="s">
        <v>13</v>
      </c>
      <c r="AN7" s="398"/>
      <c r="AO7" s="397" t="s">
        <v>14</v>
      </c>
      <c r="AP7" s="398"/>
      <c r="AQ7" s="397" t="s">
        <v>15</v>
      </c>
      <c r="AR7" s="398"/>
      <c r="AS7" s="397" t="s">
        <v>16</v>
      </c>
      <c r="AT7" s="398"/>
      <c r="AU7" s="397" t="s">
        <v>4</v>
      </c>
      <c r="AV7" s="399"/>
      <c r="AW7" s="399"/>
      <c r="AX7" s="399"/>
      <c r="AY7" s="399"/>
      <c r="AZ7" s="399"/>
    </row>
    <row r="8" spans="1:52" s="7" customFormat="1" ht="15" customHeight="1" x14ac:dyDescent="0.3">
      <c r="A8" s="409"/>
      <c r="B8" s="414"/>
      <c r="C8" s="412"/>
      <c r="D8" s="417"/>
      <c r="E8" s="417"/>
      <c r="F8" s="412"/>
      <c r="G8" s="412"/>
      <c r="H8" s="412"/>
      <c r="I8" s="420"/>
      <c r="J8" s="395"/>
      <c r="K8" s="395" t="s">
        <v>94</v>
      </c>
      <c r="L8" s="395" t="s">
        <v>95</v>
      </c>
      <c r="M8" s="395" t="s">
        <v>96</v>
      </c>
      <c r="N8" s="395" t="s">
        <v>97</v>
      </c>
      <c r="O8" s="395" t="s">
        <v>98</v>
      </c>
      <c r="P8" s="395" t="s">
        <v>99</v>
      </c>
      <c r="Q8" s="395" t="s">
        <v>100</v>
      </c>
      <c r="R8" s="395" t="s">
        <v>101</v>
      </c>
      <c r="S8" s="395" t="s">
        <v>102</v>
      </c>
      <c r="T8" s="395" t="s">
        <v>103</v>
      </c>
      <c r="U8" s="408"/>
      <c r="V8" s="408"/>
      <c r="W8" s="398"/>
      <c r="X8" s="398"/>
      <c r="Y8" s="398"/>
      <c r="Z8" s="398"/>
      <c r="AA8" s="398"/>
      <c r="AB8" s="398"/>
      <c r="AC8" s="398"/>
      <c r="AD8" s="398"/>
      <c r="AE8" s="398"/>
      <c r="AF8" s="398"/>
      <c r="AG8" s="398"/>
      <c r="AH8" s="398"/>
      <c r="AI8" s="398"/>
      <c r="AJ8" s="398"/>
      <c r="AK8" s="398"/>
      <c r="AL8" s="398"/>
      <c r="AM8" s="398"/>
      <c r="AN8" s="398"/>
      <c r="AO8" s="398"/>
      <c r="AP8" s="398"/>
      <c r="AQ8" s="398"/>
      <c r="AR8" s="398"/>
      <c r="AS8" s="398"/>
      <c r="AT8" s="398"/>
      <c r="AU8" s="397"/>
      <c r="AV8" s="399"/>
      <c r="AW8" s="399"/>
      <c r="AX8" s="399"/>
      <c r="AY8" s="399"/>
      <c r="AZ8" s="399"/>
    </row>
    <row r="9" spans="1:52" s="7" customFormat="1" ht="24" customHeight="1" x14ac:dyDescent="0.3">
      <c r="A9" s="409"/>
      <c r="B9" s="415"/>
      <c r="C9" s="412"/>
      <c r="D9" s="418"/>
      <c r="E9" s="418"/>
      <c r="F9" s="412"/>
      <c r="G9" s="412"/>
      <c r="H9" s="412"/>
      <c r="I9" s="421"/>
      <c r="J9" s="396"/>
      <c r="K9" s="396"/>
      <c r="L9" s="396"/>
      <c r="M9" s="396"/>
      <c r="N9" s="396"/>
      <c r="O9" s="396"/>
      <c r="P9" s="396"/>
      <c r="Q9" s="396"/>
      <c r="R9" s="396"/>
      <c r="S9" s="396"/>
      <c r="T9" s="396"/>
      <c r="U9" s="8" t="s">
        <v>139</v>
      </c>
      <c r="V9" s="8" t="s">
        <v>139</v>
      </c>
      <c r="W9" s="19" t="s">
        <v>37</v>
      </c>
      <c r="X9" s="19" t="s">
        <v>42</v>
      </c>
      <c r="Y9" s="19" t="s">
        <v>37</v>
      </c>
      <c r="Z9" s="19" t="s">
        <v>42</v>
      </c>
      <c r="AA9" s="19" t="s">
        <v>37</v>
      </c>
      <c r="AB9" s="19" t="s">
        <v>42</v>
      </c>
      <c r="AC9" s="19" t="s">
        <v>37</v>
      </c>
      <c r="AD9" s="19" t="s">
        <v>42</v>
      </c>
      <c r="AE9" s="19" t="s">
        <v>37</v>
      </c>
      <c r="AF9" s="19" t="s">
        <v>42</v>
      </c>
      <c r="AG9" s="19" t="s">
        <v>37</v>
      </c>
      <c r="AH9" s="19" t="s">
        <v>42</v>
      </c>
      <c r="AI9" s="19" t="s">
        <v>37</v>
      </c>
      <c r="AJ9" s="19" t="s">
        <v>42</v>
      </c>
      <c r="AK9" s="19" t="s">
        <v>37</v>
      </c>
      <c r="AL9" s="19" t="s">
        <v>42</v>
      </c>
      <c r="AM9" s="19" t="s">
        <v>37</v>
      </c>
      <c r="AN9" s="19" t="s">
        <v>42</v>
      </c>
      <c r="AO9" s="19" t="s">
        <v>37</v>
      </c>
      <c r="AP9" s="19" t="s">
        <v>42</v>
      </c>
      <c r="AQ9" s="19" t="s">
        <v>37</v>
      </c>
      <c r="AR9" s="19" t="s">
        <v>42</v>
      </c>
      <c r="AS9" s="19" t="s">
        <v>37</v>
      </c>
      <c r="AT9" s="19" t="s">
        <v>42</v>
      </c>
      <c r="AU9" s="8" t="s">
        <v>50</v>
      </c>
      <c r="AV9" s="399"/>
      <c r="AW9" s="399"/>
      <c r="AX9" s="399"/>
      <c r="AY9" s="399"/>
      <c r="AZ9" s="399"/>
    </row>
    <row r="10" spans="1:52" s="6" customFormat="1" ht="15" customHeight="1" x14ac:dyDescent="0.3">
      <c r="A10" s="78">
        <v>1</v>
      </c>
      <c r="B10" s="40">
        <v>2</v>
      </c>
      <c r="C10" s="41">
        <v>3</v>
      </c>
      <c r="D10" s="41">
        <v>4</v>
      </c>
      <c r="E10" s="41">
        <v>5</v>
      </c>
      <c r="F10" s="41">
        <v>6</v>
      </c>
      <c r="G10" s="41">
        <v>7</v>
      </c>
      <c r="H10" s="41">
        <v>8</v>
      </c>
      <c r="I10" s="42">
        <v>9</v>
      </c>
      <c r="J10" s="26">
        <v>10</v>
      </c>
      <c r="K10" s="26">
        <v>11</v>
      </c>
      <c r="L10" s="26">
        <v>12</v>
      </c>
      <c r="M10" s="26">
        <v>13</v>
      </c>
      <c r="N10" s="26">
        <v>14</v>
      </c>
      <c r="O10" s="26">
        <v>15</v>
      </c>
      <c r="P10" s="26">
        <v>16</v>
      </c>
      <c r="Q10" s="26">
        <v>17</v>
      </c>
      <c r="R10" s="26">
        <v>18</v>
      </c>
      <c r="S10" s="26">
        <v>19</v>
      </c>
      <c r="T10" s="26">
        <v>20</v>
      </c>
      <c r="U10" s="43">
        <v>21</v>
      </c>
      <c r="V10" s="43">
        <v>22</v>
      </c>
      <c r="W10" s="43">
        <v>23</v>
      </c>
      <c r="X10" s="43">
        <v>24</v>
      </c>
      <c r="Y10" s="43">
        <v>25</v>
      </c>
      <c r="Z10" s="43">
        <v>26</v>
      </c>
      <c r="AA10" s="43">
        <v>27</v>
      </c>
      <c r="AB10" s="43">
        <v>28</v>
      </c>
      <c r="AC10" s="43">
        <v>29</v>
      </c>
      <c r="AD10" s="43">
        <v>30</v>
      </c>
      <c r="AE10" s="43">
        <v>31</v>
      </c>
      <c r="AF10" s="43">
        <v>32</v>
      </c>
      <c r="AG10" s="43">
        <v>33</v>
      </c>
      <c r="AH10" s="43">
        <v>34</v>
      </c>
      <c r="AI10" s="43">
        <v>35</v>
      </c>
      <c r="AJ10" s="43">
        <v>36</v>
      </c>
      <c r="AK10" s="43">
        <v>37</v>
      </c>
      <c r="AL10" s="43">
        <v>38</v>
      </c>
      <c r="AM10" s="43">
        <v>39</v>
      </c>
      <c r="AN10" s="43">
        <v>40</v>
      </c>
      <c r="AO10" s="43">
        <v>41</v>
      </c>
      <c r="AP10" s="43">
        <v>42</v>
      </c>
      <c r="AQ10" s="43">
        <v>43</v>
      </c>
      <c r="AR10" s="43">
        <v>44</v>
      </c>
      <c r="AS10" s="43">
        <v>45</v>
      </c>
      <c r="AT10" s="43">
        <v>46</v>
      </c>
      <c r="AU10" s="43">
        <v>47</v>
      </c>
      <c r="AV10" s="44">
        <v>48</v>
      </c>
      <c r="AW10" s="44">
        <v>49</v>
      </c>
      <c r="AX10" s="44">
        <v>50</v>
      </c>
      <c r="AY10" s="44">
        <v>51</v>
      </c>
      <c r="AZ10" s="44">
        <v>52</v>
      </c>
    </row>
    <row r="11" spans="1:52" s="180" customFormat="1" ht="15" customHeight="1" x14ac:dyDescent="0.3">
      <c r="A11" s="73">
        <v>1</v>
      </c>
      <c r="B11" s="174" t="s">
        <v>285</v>
      </c>
      <c r="C11" s="152" t="s">
        <v>214</v>
      </c>
      <c r="D11" s="152" t="s">
        <v>204</v>
      </c>
      <c r="E11" s="152" t="s">
        <v>205</v>
      </c>
      <c r="F11" s="152" t="s">
        <v>206</v>
      </c>
      <c r="G11" s="175" t="s">
        <v>145</v>
      </c>
      <c r="H11" s="176" t="s">
        <v>146</v>
      </c>
      <c r="I11" s="176">
        <v>7</v>
      </c>
      <c r="J11" s="177"/>
      <c r="K11" s="177"/>
      <c r="L11" s="177"/>
      <c r="M11" s="177"/>
      <c r="N11" s="177"/>
      <c r="O11" s="177"/>
      <c r="P11" s="177"/>
      <c r="Q11" s="178"/>
      <c r="R11" s="177"/>
      <c r="S11" s="177"/>
      <c r="T11" s="177"/>
      <c r="U11" s="179" t="s">
        <v>210</v>
      </c>
      <c r="V11" s="176">
        <v>8081.6</v>
      </c>
      <c r="W11" s="152">
        <v>1289.23</v>
      </c>
      <c r="X11" s="152" t="s">
        <v>207</v>
      </c>
      <c r="Y11" s="152">
        <v>904.14</v>
      </c>
      <c r="Z11" s="152" t="s">
        <v>207</v>
      </c>
      <c r="AA11" s="152">
        <v>1138.92</v>
      </c>
      <c r="AB11" s="152" t="s">
        <v>207</v>
      </c>
      <c r="AC11" s="152">
        <v>754.75</v>
      </c>
      <c r="AD11" s="152" t="s">
        <v>207</v>
      </c>
      <c r="AE11" s="152">
        <v>232.59</v>
      </c>
      <c r="AF11" s="152" t="s">
        <v>207</v>
      </c>
      <c r="AG11" s="152">
        <v>178.26</v>
      </c>
      <c r="AH11" s="152" t="s">
        <v>207</v>
      </c>
      <c r="AI11" s="152">
        <v>135.21</v>
      </c>
      <c r="AJ11" s="152" t="s">
        <v>207</v>
      </c>
      <c r="AK11" s="152">
        <v>165.73</v>
      </c>
      <c r="AL11" s="152" t="s">
        <v>207</v>
      </c>
      <c r="AM11" s="152">
        <v>201.64</v>
      </c>
      <c r="AN11" s="152" t="s">
        <v>207</v>
      </c>
      <c r="AO11" s="152">
        <v>753.49</v>
      </c>
      <c r="AP11" s="152" t="s">
        <v>207</v>
      </c>
      <c r="AQ11" s="152">
        <v>693.01</v>
      </c>
      <c r="AR11" s="152" t="s">
        <v>207</v>
      </c>
      <c r="AS11" s="152">
        <v>1014.34</v>
      </c>
      <c r="AT11" s="152" t="s">
        <v>207</v>
      </c>
      <c r="AU11" s="152">
        <f>W11+Y11+AA11+AC11+AE11+AG11+AI11+AK11+AM11+AO11+AQ11+AS11</f>
        <v>7461.31</v>
      </c>
      <c r="AV11" s="152">
        <v>4.28</v>
      </c>
      <c r="AW11" s="152" t="s">
        <v>211</v>
      </c>
      <c r="AX11" s="152" t="s">
        <v>208</v>
      </c>
      <c r="AY11" s="152">
        <v>6</v>
      </c>
      <c r="AZ11" s="152" t="s">
        <v>209</v>
      </c>
    </row>
    <row r="12" spans="1:52" s="180" customFormat="1" ht="15" customHeight="1" x14ac:dyDescent="0.3">
      <c r="A12" s="73">
        <v>2</v>
      </c>
      <c r="B12" s="174" t="s">
        <v>580</v>
      </c>
      <c r="C12" s="152" t="s">
        <v>220</v>
      </c>
      <c r="D12" s="152" t="s">
        <v>204</v>
      </c>
      <c r="E12" s="98" t="s">
        <v>250</v>
      </c>
      <c r="F12" s="152" t="s">
        <v>221</v>
      </c>
      <c r="G12" s="175" t="s">
        <v>145</v>
      </c>
      <c r="H12" s="176" t="s">
        <v>146</v>
      </c>
      <c r="I12" s="176">
        <v>4</v>
      </c>
      <c r="J12" s="177" t="s">
        <v>222</v>
      </c>
      <c r="K12" s="177">
        <v>80</v>
      </c>
      <c r="L12" s="177">
        <v>7</v>
      </c>
      <c r="M12" s="177" t="s">
        <v>223</v>
      </c>
      <c r="N12" s="177" t="s">
        <v>218</v>
      </c>
      <c r="O12" s="177" t="s">
        <v>219</v>
      </c>
      <c r="P12" s="177" t="s">
        <v>218</v>
      </c>
      <c r="Q12" s="178" t="s">
        <v>219</v>
      </c>
      <c r="R12" s="177" t="s">
        <v>224</v>
      </c>
      <c r="S12" s="177" t="s">
        <v>219</v>
      </c>
      <c r="T12" s="177" t="s">
        <v>225</v>
      </c>
      <c r="U12" s="176">
        <v>6100</v>
      </c>
      <c r="V12" s="176">
        <v>5907</v>
      </c>
      <c r="W12" s="152" t="s">
        <v>226</v>
      </c>
      <c r="X12" s="152" t="s">
        <v>207</v>
      </c>
      <c r="Y12" s="152" t="s">
        <v>227</v>
      </c>
      <c r="Z12" s="152" t="s">
        <v>207</v>
      </c>
      <c r="AA12" s="152" t="s">
        <v>228</v>
      </c>
      <c r="AB12" s="152" t="s">
        <v>207</v>
      </c>
      <c r="AC12" s="152" t="s">
        <v>229</v>
      </c>
      <c r="AD12" s="152" t="s">
        <v>207</v>
      </c>
      <c r="AE12" s="152" t="s">
        <v>230</v>
      </c>
      <c r="AF12" s="152" t="s">
        <v>207</v>
      </c>
      <c r="AG12" s="152" t="s">
        <v>231</v>
      </c>
      <c r="AH12" s="152" t="s">
        <v>207</v>
      </c>
      <c r="AI12" s="152" t="s">
        <v>232</v>
      </c>
      <c r="AJ12" s="152" t="s">
        <v>207</v>
      </c>
      <c r="AK12" s="152" t="s">
        <v>233</v>
      </c>
      <c r="AL12" s="152" t="s">
        <v>207</v>
      </c>
      <c r="AM12" s="152" t="s">
        <v>234</v>
      </c>
      <c r="AN12" s="152" t="s">
        <v>207</v>
      </c>
      <c r="AO12" s="152" t="s">
        <v>235</v>
      </c>
      <c r="AP12" s="152" t="s">
        <v>207</v>
      </c>
      <c r="AQ12" s="152" t="s">
        <v>236</v>
      </c>
      <c r="AR12" s="152" t="s">
        <v>207</v>
      </c>
      <c r="AS12" s="152" t="s">
        <v>237</v>
      </c>
      <c r="AT12" s="152" t="s">
        <v>207</v>
      </c>
      <c r="AU12" s="152">
        <v>5770</v>
      </c>
      <c r="AV12" s="152">
        <v>2.08</v>
      </c>
      <c r="AW12" s="152" t="s">
        <v>223</v>
      </c>
      <c r="AX12" s="152" t="s">
        <v>238</v>
      </c>
      <c r="AY12" s="152">
        <v>4</v>
      </c>
      <c r="AZ12" s="152" t="s">
        <v>239</v>
      </c>
    </row>
    <row r="13" spans="1:52" s="362" customFormat="1" ht="15" customHeight="1" x14ac:dyDescent="0.3">
      <c r="A13" s="150">
        <v>3</v>
      </c>
      <c r="B13" s="139" t="s">
        <v>581</v>
      </c>
      <c r="C13" s="166" t="s">
        <v>249</v>
      </c>
      <c r="D13" s="166" t="s">
        <v>204</v>
      </c>
      <c r="E13" s="166" t="s">
        <v>250</v>
      </c>
      <c r="F13" s="166" t="s">
        <v>251</v>
      </c>
      <c r="G13" s="175" t="s">
        <v>145</v>
      </c>
      <c r="H13" s="139" t="s">
        <v>146</v>
      </c>
      <c r="I13" s="139">
        <v>1</v>
      </c>
      <c r="J13" s="139" t="s">
        <v>252</v>
      </c>
      <c r="K13" s="139" t="s">
        <v>253</v>
      </c>
      <c r="L13" s="139" t="s">
        <v>254</v>
      </c>
      <c r="M13" s="139" t="s">
        <v>255</v>
      </c>
      <c r="N13" s="139" t="s">
        <v>218</v>
      </c>
      <c r="O13" s="139" t="s">
        <v>219</v>
      </c>
      <c r="P13" s="139" t="s">
        <v>218</v>
      </c>
      <c r="Q13" s="361" t="s">
        <v>218</v>
      </c>
      <c r="R13" s="139" t="s">
        <v>256</v>
      </c>
      <c r="S13" s="139" t="s">
        <v>219</v>
      </c>
      <c r="T13" s="139"/>
      <c r="U13" s="139">
        <v>3925</v>
      </c>
      <c r="V13" s="139">
        <v>3654</v>
      </c>
      <c r="W13" s="166" t="s">
        <v>257</v>
      </c>
      <c r="X13" s="166" t="s">
        <v>258</v>
      </c>
      <c r="Y13" s="166" t="s">
        <v>259</v>
      </c>
      <c r="Z13" s="166" t="s">
        <v>258</v>
      </c>
      <c r="AA13" s="166" t="s">
        <v>260</v>
      </c>
      <c r="AB13" s="166" t="s">
        <v>258</v>
      </c>
      <c r="AC13" s="166">
        <v>320</v>
      </c>
      <c r="AD13" s="166" t="s">
        <v>258</v>
      </c>
      <c r="AE13" s="166" t="s">
        <v>261</v>
      </c>
      <c r="AF13" s="166" t="s">
        <v>258</v>
      </c>
      <c r="AG13" s="166">
        <v>0</v>
      </c>
      <c r="AH13" s="166" t="s">
        <v>258</v>
      </c>
      <c r="AI13" s="166">
        <v>0</v>
      </c>
      <c r="AJ13" s="166" t="s">
        <v>258</v>
      </c>
      <c r="AK13" s="166">
        <v>0</v>
      </c>
      <c r="AL13" s="166" t="s">
        <v>258</v>
      </c>
      <c r="AM13" s="166">
        <v>0</v>
      </c>
      <c r="AN13" s="166" t="s">
        <v>258</v>
      </c>
      <c r="AO13" s="166">
        <v>341</v>
      </c>
      <c r="AP13" s="166" t="s">
        <v>258</v>
      </c>
      <c r="AQ13" s="166">
        <v>438</v>
      </c>
      <c r="AR13" s="166" t="s">
        <v>258</v>
      </c>
      <c r="AS13" s="166">
        <v>386</v>
      </c>
      <c r="AT13" s="166" t="s">
        <v>258</v>
      </c>
      <c r="AU13" s="166">
        <v>3294</v>
      </c>
      <c r="AV13" s="166" t="s">
        <v>262</v>
      </c>
      <c r="AW13" s="166" t="s">
        <v>263</v>
      </c>
      <c r="AX13" s="166" t="s">
        <v>256</v>
      </c>
      <c r="AY13" s="166">
        <v>6</v>
      </c>
      <c r="AZ13" s="166" t="s">
        <v>219</v>
      </c>
    </row>
    <row r="14" spans="1:52" s="185" customFormat="1" ht="15" customHeight="1" x14ac:dyDescent="0.3">
      <c r="A14" s="237">
        <v>3</v>
      </c>
      <c r="B14" s="181" t="s">
        <v>581</v>
      </c>
      <c r="C14" s="182" t="s">
        <v>249</v>
      </c>
      <c r="D14" s="182" t="s">
        <v>204</v>
      </c>
      <c r="E14" s="182" t="s">
        <v>264</v>
      </c>
      <c r="F14" s="182" t="s">
        <v>251</v>
      </c>
      <c r="G14" s="183" t="s">
        <v>62</v>
      </c>
      <c r="H14" s="181" t="s">
        <v>265</v>
      </c>
      <c r="I14" s="181">
        <v>1</v>
      </c>
      <c r="J14" s="181" t="s">
        <v>252</v>
      </c>
      <c r="K14" s="181" t="s">
        <v>266</v>
      </c>
      <c r="L14" s="181">
        <v>5.5</v>
      </c>
      <c r="M14" s="181" t="s">
        <v>267</v>
      </c>
      <c r="N14" s="181" t="s">
        <v>218</v>
      </c>
      <c r="O14" s="181" t="s">
        <v>219</v>
      </c>
      <c r="P14" s="181" t="s">
        <v>218</v>
      </c>
      <c r="Q14" s="184" t="s">
        <v>218</v>
      </c>
      <c r="R14" s="181"/>
      <c r="S14" s="181" t="s">
        <v>219</v>
      </c>
      <c r="T14" s="181"/>
      <c r="U14" s="181">
        <v>28755</v>
      </c>
      <c r="V14" s="181">
        <v>27470</v>
      </c>
      <c r="W14" s="182">
        <v>2608</v>
      </c>
      <c r="X14" s="182" t="s">
        <v>258</v>
      </c>
      <c r="Y14" s="182">
        <v>2806</v>
      </c>
      <c r="Z14" s="182" t="s">
        <v>258</v>
      </c>
      <c r="AA14" s="182">
        <v>1992</v>
      </c>
      <c r="AB14" s="182" t="s">
        <v>258</v>
      </c>
      <c r="AC14" s="182">
        <v>2007</v>
      </c>
      <c r="AD14" s="182" t="s">
        <v>258</v>
      </c>
      <c r="AE14" s="182">
        <v>1940</v>
      </c>
      <c r="AF14" s="182" t="s">
        <v>258</v>
      </c>
      <c r="AG14" s="182">
        <v>1840</v>
      </c>
      <c r="AH14" s="182" t="s">
        <v>258</v>
      </c>
      <c r="AI14" s="182">
        <v>1810</v>
      </c>
      <c r="AJ14" s="182" t="s">
        <v>258</v>
      </c>
      <c r="AK14" s="182">
        <v>1930</v>
      </c>
      <c r="AL14" s="182" t="s">
        <v>258</v>
      </c>
      <c r="AM14" s="182">
        <v>2230</v>
      </c>
      <c r="AN14" s="182" t="s">
        <v>258</v>
      </c>
      <c r="AO14" s="182">
        <v>2530</v>
      </c>
      <c r="AP14" s="182" t="s">
        <v>258</v>
      </c>
      <c r="AQ14" s="182">
        <v>2660</v>
      </c>
      <c r="AR14" s="182" t="s">
        <v>258</v>
      </c>
      <c r="AS14" s="182">
        <v>2520</v>
      </c>
      <c r="AT14" s="182" t="s">
        <v>258</v>
      </c>
      <c r="AU14" s="182">
        <v>26873</v>
      </c>
      <c r="AV14" s="182"/>
      <c r="AW14" s="182"/>
      <c r="AX14" s="182"/>
      <c r="AY14" s="182"/>
      <c r="AZ14" s="182" t="s">
        <v>219</v>
      </c>
    </row>
    <row r="15" spans="1:52" s="102" customFormat="1" ht="15" customHeight="1" x14ac:dyDescent="0.3">
      <c r="A15" s="103">
        <v>4</v>
      </c>
      <c r="B15" s="174" t="s">
        <v>582</v>
      </c>
      <c r="C15" s="98" t="s">
        <v>277</v>
      </c>
      <c r="D15" s="98" t="s">
        <v>204</v>
      </c>
      <c r="E15" s="98" t="s">
        <v>250</v>
      </c>
      <c r="F15" s="99" t="s">
        <v>273</v>
      </c>
      <c r="G15" s="100" t="s">
        <v>145</v>
      </c>
      <c r="H15" s="100" t="s">
        <v>146</v>
      </c>
      <c r="I15" s="100">
        <v>1</v>
      </c>
      <c r="J15" s="99" t="s">
        <v>278</v>
      </c>
      <c r="K15" s="99">
        <v>125</v>
      </c>
      <c r="L15" s="99" t="s">
        <v>279</v>
      </c>
      <c r="M15" s="99" t="s">
        <v>223</v>
      </c>
      <c r="N15" s="99" t="s">
        <v>218</v>
      </c>
      <c r="O15" s="99" t="s">
        <v>218</v>
      </c>
      <c r="P15" s="99" t="s">
        <v>218</v>
      </c>
      <c r="Q15" s="99" t="s">
        <v>219</v>
      </c>
      <c r="R15" s="99"/>
      <c r="S15" s="99" t="s">
        <v>219</v>
      </c>
      <c r="T15" s="99"/>
      <c r="U15" s="100">
        <v>1548.06</v>
      </c>
      <c r="V15" s="100">
        <v>1587.24</v>
      </c>
      <c r="W15" s="98">
        <v>259.45</v>
      </c>
      <c r="X15" s="98" t="s">
        <v>207</v>
      </c>
      <c r="Y15" s="98">
        <v>185.65</v>
      </c>
      <c r="Z15" s="98" t="s">
        <v>207</v>
      </c>
      <c r="AA15" s="98">
        <v>255.75</v>
      </c>
      <c r="AB15" s="98" t="s">
        <v>207</v>
      </c>
      <c r="AC15" s="98">
        <v>141.38</v>
      </c>
      <c r="AD15" s="98" t="s">
        <v>207</v>
      </c>
      <c r="AE15" s="98">
        <v>49.52</v>
      </c>
      <c r="AF15" s="98" t="s">
        <v>207</v>
      </c>
      <c r="AG15" s="98">
        <v>19.170000000000002</v>
      </c>
      <c r="AH15" s="98" t="s">
        <v>207</v>
      </c>
      <c r="AI15" s="98">
        <v>15.47</v>
      </c>
      <c r="AJ15" s="98" t="s">
        <v>207</v>
      </c>
      <c r="AK15" s="98">
        <v>17.690000000000001</v>
      </c>
      <c r="AL15" s="98" t="s">
        <v>207</v>
      </c>
      <c r="AM15" s="98">
        <v>27.12</v>
      </c>
      <c r="AN15" s="98" t="s">
        <v>207</v>
      </c>
      <c r="AO15" s="98">
        <v>151.18</v>
      </c>
      <c r="AP15" s="98" t="s">
        <v>207</v>
      </c>
      <c r="AQ15" s="98">
        <v>149.18</v>
      </c>
      <c r="AR15" s="98" t="s">
        <v>207</v>
      </c>
      <c r="AS15" s="98">
        <v>196.44</v>
      </c>
      <c r="AT15" s="98" t="s">
        <v>207</v>
      </c>
      <c r="AU15" s="101">
        <f>SUM(W15:AT15)</f>
        <v>1468.0000000000002</v>
      </c>
      <c r="AV15" s="98"/>
      <c r="AW15" s="98" t="s">
        <v>223</v>
      </c>
      <c r="AX15" s="98"/>
      <c r="AY15" s="98"/>
      <c r="AZ15" s="98"/>
    </row>
    <row r="16" spans="1:52" s="188" customFormat="1" ht="15" customHeight="1" x14ac:dyDescent="0.3">
      <c r="A16" s="114">
        <v>5</v>
      </c>
      <c r="B16" s="174" t="s">
        <v>583</v>
      </c>
      <c r="C16" s="153" t="s">
        <v>249</v>
      </c>
      <c r="D16" s="153" t="s">
        <v>288</v>
      </c>
      <c r="E16" s="153" t="s">
        <v>289</v>
      </c>
      <c r="F16" s="153" t="s">
        <v>290</v>
      </c>
      <c r="G16" s="175" t="s">
        <v>145</v>
      </c>
      <c r="H16" s="139" t="s">
        <v>146</v>
      </c>
      <c r="I16" s="139">
        <v>5</v>
      </c>
      <c r="J16" s="174"/>
      <c r="K16" s="174"/>
      <c r="L16" s="174"/>
      <c r="M16" s="174"/>
      <c r="N16" s="174" t="s">
        <v>218</v>
      </c>
      <c r="O16" s="174"/>
      <c r="P16" s="174"/>
      <c r="Q16" s="187"/>
      <c r="R16" s="174"/>
      <c r="S16" s="174"/>
      <c r="T16" s="174"/>
      <c r="U16" s="139"/>
      <c r="V16" s="139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3"/>
      <c r="AN16" s="153"/>
      <c r="AO16" s="153"/>
      <c r="AP16" s="153"/>
      <c r="AQ16" s="153"/>
      <c r="AR16" s="153"/>
      <c r="AS16" s="153"/>
      <c r="AT16" s="153"/>
      <c r="AU16" s="153"/>
      <c r="AV16" s="153"/>
      <c r="AW16" s="153"/>
      <c r="AX16" s="153"/>
      <c r="AY16" s="153">
        <v>5</v>
      </c>
      <c r="AZ16" s="153"/>
    </row>
    <row r="17" spans="1:52" s="180" customFormat="1" ht="15" customHeight="1" x14ac:dyDescent="0.3">
      <c r="A17" s="73">
        <v>6</v>
      </c>
      <c r="B17" s="174" t="s">
        <v>584</v>
      </c>
      <c r="C17" s="153" t="s">
        <v>220</v>
      </c>
      <c r="D17" s="152" t="s">
        <v>204</v>
      </c>
      <c r="E17" s="152" t="s">
        <v>250</v>
      </c>
      <c r="F17" s="152" t="s">
        <v>294</v>
      </c>
      <c r="G17" s="175" t="s">
        <v>145</v>
      </c>
      <c r="H17" s="176" t="s">
        <v>146</v>
      </c>
      <c r="I17" s="176">
        <v>4</v>
      </c>
      <c r="J17" s="177" t="s">
        <v>250</v>
      </c>
      <c r="K17" s="177">
        <v>100</v>
      </c>
      <c r="L17" s="177">
        <v>7.2</v>
      </c>
      <c r="M17" s="177" t="s">
        <v>223</v>
      </c>
      <c r="N17" s="177" t="s">
        <v>218</v>
      </c>
      <c r="O17" s="177" t="s">
        <v>219</v>
      </c>
      <c r="P17" s="177" t="s">
        <v>295</v>
      </c>
      <c r="Q17" s="178" t="s">
        <v>219</v>
      </c>
      <c r="R17" s="177" t="s">
        <v>204</v>
      </c>
      <c r="S17" s="177" t="s">
        <v>219</v>
      </c>
      <c r="T17" s="177"/>
      <c r="U17" s="189">
        <v>2839.9972173469414</v>
      </c>
      <c r="V17" s="189">
        <v>3054.2209730921322</v>
      </c>
      <c r="W17" s="190">
        <f>'[2] ТСЖ Турку 291 ТЦ 1'!$O$63</f>
        <v>637.50314755850218</v>
      </c>
      <c r="X17" s="191" t="s">
        <v>207</v>
      </c>
      <c r="Y17" s="190">
        <f>'[3] ТСЖ Турку 291 ТЦ 1'!$N$56</f>
        <v>377.49444131971632</v>
      </c>
      <c r="Z17" s="191" t="s">
        <v>207</v>
      </c>
      <c r="AA17" s="190">
        <f>'[4] ТСЖ Турку 291 ТЦ 1'!$N$61</f>
        <v>658.24369112437978</v>
      </c>
      <c r="AB17" s="191" t="s">
        <v>207</v>
      </c>
      <c r="AC17" s="190">
        <f>'[5] ТСЖ Турку 291 ТЦ 1'!$N$63</f>
        <v>209.07541722635409</v>
      </c>
      <c r="AD17" s="191" t="s">
        <v>207</v>
      </c>
      <c r="AE17" s="190">
        <f>'[6]ТСЖ "Турку 29" ИТП2'!$P$61</f>
        <v>52.233074145922714</v>
      </c>
      <c r="AF17" s="191" t="s">
        <v>207</v>
      </c>
      <c r="AG17" s="191"/>
      <c r="AH17" s="191"/>
      <c r="AI17" s="191"/>
      <c r="AJ17" s="191"/>
      <c r="AK17" s="191"/>
      <c r="AL17" s="191"/>
      <c r="AM17" s="191"/>
      <c r="AN17" s="191"/>
      <c r="AO17" s="190">
        <f>'[7]ТСЖ "Турку 29" ИТП1-ГВС'!$O$62</f>
        <v>382.7325080270308</v>
      </c>
      <c r="AP17" s="191" t="s">
        <v>207</v>
      </c>
      <c r="AQ17" s="190">
        <f>'[8]ТСЖ "Турку 29" ИТП1-ГВС'!$P$62</f>
        <v>272.81264337290008</v>
      </c>
      <c r="AR17" s="191" t="s">
        <v>207</v>
      </c>
      <c r="AS17" s="190">
        <f>'[9]ТСЖ "Турку 29" ИТП1-ГВС'!$N$62</f>
        <v>436.48402641623295</v>
      </c>
      <c r="AT17" s="191" t="s">
        <v>207</v>
      </c>
      <c r="AU17" s="190">
        <f>SUM(W17:AT17)</f>
        <v>3026.5789491910391</v>
      </c>
      <c r="AV17" s="152">
        <v>1.59</v>
      </c>
      <c r="AW17" s="152" t="s">
        <v>223</v>
      </c>
      <c r="AX17" s="152" t="s">
        <v>296</v>
      </c>
      <c r="AY17" s="152">
        <v>4</v>
      </c>
      <c r="AZ17" s="152" t="s">
        <v>297</v>
      </c>
    </row>
    <row r="18" spans="1:52" s="188" customFormat="1" ht="15" customHeight="1" x14ac:dyDescent="0.3">
      <c r="A18" s="114">
        <v>7</v>
      </c>
      <c r="B18" s="174" t="s">
        <v>585</v>
      </c>
      <c r="C18" s="153" t="s">
        <v>220</v>
      </c>
      <c r="D18" s="153" t="s">
        <v>204</v>
      </c>
      <c r="E18" s="153" t="s">
        <v>289</v>
      </c>
      <c r="F18" s="153" t="s">
        <v>334</v>
      </c>
      <c r="G18" s="175" t="s">
        <v>145</v>
      </c>
      <c r="H18" s="139" t="s">
        <v>146</v>
      </c>
      <c r="I18" s="139">
        <v>1</v>
      </c>
      <c r="J18" s="174"/>
      <c r="K18" s="174"/>
      <c r="L18" s="174"/>
      <c r="M18" s="174"/>
      <c r="N18" s="174"/>
      <c r="O18" s="174"/>
      <c r="P18" s="174"/>
      <c r="Q18" s="187"/>
      <c r="R18" s="174"/>
      <c r="S18" s="174"/>
      <c r="T18" s="174"/>
      <c r="U18" s="139">
        <v>792.26499999999999</v>
      </c>
      <c r="V18" s="139">
        <v>802.28800000000001</v>
      </c>
      <c r="W18" s="153">
        <v>150.79</v>
      </c>
      <c r="X18" s="153" t="s">
        <v>207</v>
      </c>
      <c r="Y18" s="153">
        <v>105.52</v>
      </c>
      <c r="Z18" s="153" t="s">
        <v>207</v>
      </c>
      <c r="AA18" s="153">
        <v>143.28</v>
      </c>
      <c r="AB18" s="153" t="s">
        <v>207</v>
      </c>
      <c r="AC18" s="153">
        <v>80.430000000000007</v>
      </c>
      <c r="AD18" s="153" t="s">
        <v>207</v>
      </c>
      <c r="AE18" s="153">
        <v>32.369999999999997</v>
      </c>
      <c r="AF18" s="153" t="s">
        <v>207</v>
      </c>
      <c r="AG18" s="153">
        <v>15.78</v>
      </c>
      <c r="AH18" s="153" t="s">
        <v>207</v>
      </c>
      <c r="AI18" s="153">
        <v>22.03</v>
      </c>
      <c r="AJ18" s="153" t="s">
        <v>207</v>
      </c>
      <c r="AK18" s="153">
        <v>27.14</v>
      </c>
      <c r="AL18" s="153" t="s">
        <v>207</v>
      </c>
      <c r="AM18" s="153">
        <v>31.92</v>
      </c>
      <c r="AN18" s="153" t="s">
        <v>207</v>
      </c>
      <c r="AO18" s="153">
        <v>129.18</v>
      </c>
      <c r="AP18" s="153" t="s">
        <v>207</v>
      </c>
      <c r="AQ18" s="153">
        <v>112.81</v>
      </c>
      <c r="AR18" s="153" t="s">
        <v>207</v>
      </c>
      <c r="AS18" s="153">
        <v>147.13</v>
      </c>
      <c r="AT18" s="153" t="s">
        <v>207</v>
      </c>
      <c r="AU18" s="153">
        <v>998.38</v>
      </c>
      <c r="AV18" s="153">
        <v>0.68</v>
      </c>
      <c r="AW18" s="153" t="s">
        <v>223</v>
      </c>
      <c r="AX18" s="153" t="s">
        <v>256</v>
      </c>
      <c r="AY18" s="153">
        <v>0</v>
      </c>
      <c r="AZ18" s="153"/>
    </row>
    <row r="19" spans="1:52" s="188" customFormat="1" ht="15" customHeight="1" x14ac:dyDescent="0.3">
      <c r="A19" s="73">
        <v>8</v>
      </c>
      <c r="B19" s="174" t="s">
        <v>586</v>
      </c>
      <c r="C19" s="153" t="s">
        <v>220</v>
      </c>
      <c r="D19" s="153" t="s">
        <v>204</v>
      </c>
      <c r="E19" s="153" t="s">
        <v>264</v>
      </c>
      <c r="F19" s="153" t="s">
        <v>321</v>
      </c>
      <c r="G19" s="175" t="s">
        <v>145</v>
      </c>
      <c r="H19" s="139" t="s">
        <v>146</v>
      </c>
      <c r="I19" s="139">
        <v>2</v>
      </c>
      <c r="J19" s="153" t="s">
        <v>252</v>
      </c>
      <c r="K19" s="174">
        <v>80</v>
      </c>
      <c r="L19" s="174">
        <v>7.2</v>
      </c>
      <c r="M19" s="174" t="s">
        <v>322</v>
      </c>
      <c r="N19" s="174" t="s">
        <v>218</v>
      </c>
      <c r="O19" s="174" t="s">
        <v>219</v>
      </c>
      <c r="P19" s="174" t="s">
        <v>218</v>
      </c>
      <c r="Q19" s="187" t="s">
        <v>218</v>
      </c>
      <c r="R19" s="153" t="s">
        <v>323</v>
      </c>
      <c r="S19" s="174" t="s">
        <v>219</v>
      </c>
      <c r="T19" s="153" t="s">
        <v>324</v>
      </c>
      <c r="U19" s="166" t="s">
        <v>325</v>
      </c>
      <c r="V19" s="166">
        <f>209.787+163.476+174.57</f>
        <v>547.83300000000008</v>
      </c>
      <c r="W19" s="153">
        <v>281.20699999999999</v>
      </c>
      <c r="X19" s="153" t="s">
        <v>207</v>
      </c>
      <c r="Y19" s="153">
        <v>166.76499999999999</v>
      </c>
      <c r="Z19" s="153" t="s">
        <v>207</v>
      </c>
      <c r="AA19" s="153">
        <v>205.31</v>
      </c>
      <c r="AB19" s="153" t="s">
        <v>207</v>
      </c>
      <c r="AC19" s="153">
        <v>195.75</v>
      </c>
      <c r="AD19" s="153" t="s">
        <v>207</v>
      </c>
      <c r="AE19" s="153">
        <v>37.944000000000003</v>
      </c>
      <c r="AF19" s="153" t="s">
        <v>207</v>
      </c>
      <c r="AG19" s="153">
        <v>0</v>
      </c>
      <c r="AH19" s="153" t="s">
        <v>207</v>
      </c>
      <c r="AI19" s="153">
        <v>0</v>
      </c>
      <c r="AJ19" s="153" t="s">
        <v>207</v>
      </c>
      <c r="AK19" s="153">
        <v>0</v>
      </c>
      <c r="AL19" s="153" t="s">
        <v>207</v>
      </c>
      <c r="AM19" s="153">
        <v>0</v>
      </c>
      <c r="AN19" s="153" t="s">
        <v>207</v>
      </c>
      <c r="AO19" s="153">
        <v>161.82</v>
      </c>
      <c r="AP19" s="153" t="s">
        <v>207</v>
      </c>
      <c r="AQ19" s="153">
        <v>162.13999999999999</v>
      </c>
      <c r="AR19" s="153" t="s">
        <v>207</v>
      </c>
      <c r="AS19" s="153">
        <v>179.63</v>
      </c>
      <c r="AT19" s="153" t="s">
        <v>207</v>
      </c>
      <c r="AU19" s="153">
        <f t="shared" ref="AU19:AU24" si="0">W19+Y19+AA19+AC19+AE19+AO19+AQ19+AS19</f>
        <v>1390.5659999999998</v>
      </c>
      <c r="AV19" s="153">
        <v>0.45</v>
      </c>
      <c r="AW19" s="153" t="s">
        <v>322</v>
      </c>
      <c r="AX19" s="153" t="s">
        <v>326</v>
      </c>
      <c r="AY19" s="153">
        <v>2</v>
      </c>
      <c r="AZ19" s="153" t="s">
        <v>327</v>
      </c>
    </row>
    <row r="20" spans="1:52" s="188" customFormat="1" ht="15" customHeight="1" x14ac:dyDescent="0.3">
      <c r="A20" s="114">
        <v>9</v>
      </c>
      <c r="B20" s="174" t="s">
        <v>587</v>
      </c>
      <c r="C20" s="153" t="s">
        <v>220</v>
      </c>
      <c r="D20" s="153" t="s">
        <v>204</v>
      </c>
      <c r="E20" s="153" t="s">
        <v>264</v>
      </c>
      <c r="F20" s="153" t="s">
        <v>328</v>
      </c>
      <c r="G20" s="175" t="s">
        <v>145</v>
      </c>
      <c r="H20" s="139" t="s">
        <v>146</v>
      </c>
      <c r="I20" s="139">
        <v>1</v>
      </c>
      <c r="J20" s="153" t="s">
        <v>329</v>
      </c>
      <c r="K20" s="174">
        <v>80</v>
      </c>
      <c r="L20" s="174">
        <v>7.2</v>
      </c>
      <c r="M20" s="174" t="s">
        <v>322</v>
      </c>
      <c r="N20" s="174" t="s">
        <v>218</v>
      </c>
      <c r="O20" s="174" t="s">
        <v>219</v>
      </c>
      <c r="P20" s="174" t="s">
        <v>218</v>
      </c>
      <c r="Q20" s="187" t="s">
        <v>218</v>
      </c>
      <c r="R20" s="153" t="s">
        <v>323</v>
      </c>
      <c r="S20" s="174" t="s">
        <v>219</v>
      </c>
      <c r="T20" s="153" t="s">
        <v>324</v>
      </c>
      <c r="U20" s="166" t="s">
        <v>325</v>
      </c>
      <c r="V20" s="139">
        <f>161.931+129.581+177.835</f>
        <v>469.34699999999998</v>
      </c>
      <c r="W20" s="192">
        <v>222.39500000000001</v>
      </c>
      <c r="X20" s="153" t="s">
        <v>207</v>
      </c>
      <c r="Y20" s="153">
        <v>151.595</v>
      </c>
      <c r="Z20" s="153" t="s">
        <v>207</v>
      </c>
      <c r="AA20" s="153">
        <v>207.78399999999999</v>
      </c>
      <c r="AB20" s="153" t="s">
        <v>207</v>
      </c>
      <c r="AC20" s="153">
        <v>172.89</v>
      </c>
      <c r="AD20" s="153" t="s">
        <v>207</v>
      </c>
      <c r="AE20" s="153">
        <v>31.89</v>
      </c>
      <c r="AF20" s="153" t="s">
        <v>207</v>
      </c>
      <c r="AG20" s="153">
        <v>0</v>
      </c>
      <c r="AH20" s="153" t="s">
        <v>207</v>
      </c>
      <c r="AI20" s="153">
        <v>0</v>
      </c>
      <c r="AJ20" s="153" t="s">
        <v>207</v>
      </c>
      <c r="AK20" s="153">
        <v>0</v>
      </c>
      <c r="AL20" s="153" t="s">
        <v>207</v>
      </c>
      <c r="AM20" s="153">
        <v>0</v>
      </c>
      <c r="AN20" s="153" t="s">
        <v>207</v>
      </c>
      <c r="AO20" s="153">
        <v>57.21</v>
      </c>
      <c r="AP20" s="153" t="s">
        <v>207</v>
      </c>
      <c r="AQ20" s="153">
        <v>148.97999999999999</v>
      </c>
      <c r="AR20" s="153" t="s">
        <v>207</v>
      </c>
      <c r="AS20" s="153">
        <v>160.4</v>
      </c>
      <c r="AT20" s="153" t="s">
        <v>207</v>
      </c>
      <c r="AU20" s="192">
        <f t="shared" si="0"/>
        <v>1153.144</v>
      </c>
      <c r="AV20" s="153">
        <v>0.51</v>
      </c>
      <c r="AW20" s="153" t="s">
        <v>322</v>
      </c>
      <c r="AX20" s="153" t="s">
        <v>326</v>
      </c>
      <c r="AY20" s="153">
        <v>1</v>
      </c>
      <c r="AZ20" s="153" t="s">
        <v>327</v>
      </c>
    </row>
    <row r="21" spans="1:52" s="188" customFormat="1" ht="15" customHeight="1" x14ac:dyDescent="0.3">
      <c r="A21" s="73">
        <v>10</v>
      </c>
      <c r="B21" s="174" t="s">
        <v>588</v>
      </c>
      <c r="C21" s="153" t="s">
        <v>220</v>
      </c>
      <c r="D21" s="153" t="s">
        <v>204</v>
      </c>
      <c r="E21" s="153" t="s">
        <v>264</v>
      </c>
      <c r="F21" s="153" t="s">
        <v>330</v>
      </c>
      <c r="G21" s="175" t="s">
        <v>145</v>
      </c>
      <c r="H21" s="139" t="s">
        <v>146</v>
      </c>
      <c r="I21" s="139">
        <v>1</v>
      </c>
      <c r="J21" s="153" t="s">
        <v>252</v>
      </c>
      <c r="K21" s="174">
        <v>80</v>
      </c>
      <c r="L21" s="174">
        <v>7.2</v>
      </c>
      <c r="M21" s="174" t="s">
        <v>322</v>
      </c>
      <c r="N21" s="174" t="s">
        <v>218</v>
      </c>
      <c r="O21" s="174" t="s">
        <v>219</v>
      </c>
      <c r="P21" s="174" t="s">
        <v>218</v>
      </c>
      <c r="Q21" s="187" t="s">
        <v>218</v>
      </c>
      <c r="R21" s="153" t="s">
        <v>323</v>
      </c>
      <c r="S21" s="174" t="s">
        <v>219</v>
      </c>
      <c r="T21" s="153" t="s">
        <v>324</v>
      </c>
      <c r="U21" s="166" t="s">
        <v>325</v>
      </c>
      <c r="V21" s="139">
        <f>266.6+166.02+115.63</f>
        <v>548.25</v>
      </c>
      <c r="W21" s="153">
        <v>336.85</v>
      </c>
      <c r="X21" s="153" t="s">
        <v>207</v>
      </c>
      <c r="Y21" s="153">
        <v>199.81</v>
      </c>
      <c r="Z21" s="153" t="s">
        <v>207</v>
      </c>
      <c r="AA21" s="153">
        <v>309.75</v>
      </c>
      <c r="AB21" s="153" t="s">
        <v>207</v>
      </c>
      <c r="AC21" s="153">
        <v>160.86000000000001</v>
      </c>
      <c r="AD21" s="153" t="s">
        <v>207</v>
      </c>
      <c r="AE21" s="153">
        <v>32.18</v>
      </c>
      <c r="AF21" s="153" t="s">
        <v>207</v>
      </c>
      <c r="AG21" s="153">
        <v>0</v>
      </c>
      <c r="AH21" s="153" t="s">
        <v>207</v>
      </c>
      <c r="AI21" s="153">
        <v>0</v>
      </c>
      <c r="AJ21" s="153" t="s">
        <v>207</v>
      </c>
      <c r="AK21" s="153">
        <v>0</v>
      </c>
      <c r="AL21" s="153" t="s">
        <v>207</v>
      </c>
      <c r="AM21" s="153">
        <v>0</v>
      </c>
      <c r="AN21" s="153" t="s">
        <v>207</v>
      </c>
      <c r="AO21" s="153">
        <v>213.48</v>
      </c>
      <c r="AP21" s="153" t="s">
        <v>207</v>
      </c>
      <c r="AQ21" s="153">
        <v>113.62</v>
      </c>
      <c r="AR21" s="153" t="s">
        <v>207</v>
      </c>
      <c r="AS21" s="153">
        <v>304.35000000000002</v>
      </c>
      <c r="AT21" s="153" t="s">
        <v>207</v>
      </c>
      <c r="AU21" s="153">
        <f t="shared" si="0"/>
        <v>1670.9</v>
      </c>
      <c r="AV21" s="153">
        <v>1.17</v>
      </c>
      <c r="AW21" s="153" t="s">
        <v>322</v>
      </c>
      <c r="AX21" s="153" t="s">
        <v>326</v>
      </c>
      <c r="AY21" s="153">
        <v>1</v>
      </c>
      <c r="AZ21" s="153" t="s">
        <v>327</v>
      </c>
    </row>
    <row r="22" spans="1:52" s="194" customFormat="1" ht="15" customHeight="1" x14ac:dyDescent="0.3">
      <c r="A22" s="114">
        <v>11</v>
      </c>
      <c r="B22" s="174" t="s">
        <v>589</v>
      </c>
      <c r="C22" s="154" t="s">
        <v>220</v>
      </c>
      <c r="D22" s="154" t="s">
        <v>204</v>
      </c>
      <c r="E22" s="154" t="s">
        <v>264</v>
      </c>
      <c r="F22" s="154" t="s">
        <v>331</v>
      </c>
      <c r="G22" s="175" t="s">
        <v>145</v>
      </c>
      <c r="H22" s="139" t="s">
        <v>146</v>
      </c>
      <c r="I22" s="193">
        <v>1</v>
      </c>
      <c r="J22" s="153" t="s">
        <v>252</v>
      </c>
      <c r="K22" s="174">
        <v>80</v>
      </c>
      <c r="L22" s="174">
        <v>7.2</v>
      </c>
      <c r="M22" s="174" t="s">
        <v>322</v>
      </c>
      <c r="N22" s="174" t="s">
        <v>218</v>
      </c>
      <c r="O22" s="174" t="s">
        <v>219</v>
      </c>
      <c r="P22" s="174" t="s">
        <v>218</v>
      </c>
      <c r="Q22" s="174" t="s">
        <v>218</v>
      </c>
      <c r="R22" s="153" t="s">
        <v>323</v>
      </c>
      <c r="S22" s="174" t="s">
        <v>219</v>
      </c>
      <c r="T22" s="153" t="s">
        <v>324</v>
      </c>
      <c r="U22" s="193" t="s">
        <v>325</v>
      </c>
      <c r="V22" s="193">
        <f>199.72+137.57+58.21</f>
        <v>395.49999999999994</v>
      </c>
      <c r="W22" s="154">
        <v>199.17400000000001</v>
      </c>
      <c r="X22" s="153" t="s">
        <v>207</v>
      </c>
      <c r="Y22" s="154">
        <v>150.71</v>
      </c>
      <c r="Z22" s="154" t="s">
        <v>207</v>
      </c>
      <c r="AA22" s="154">
        <v>213.55</v>
      </c>
      <c r="AB22" s="154" t="s">
        <v>207</v>
      </c>
      <c r="AC22" s="154">
        <v>110.84</v>
      </c>
      <c r="AD22" s="154" t="s">
        <v>207</v>
      </c>
      <c r="AE22" s="154">
        <v>9.9600000000000009</v>
      </c>
      <c r="AF22" s="154" t="s">
        <v>207</v>
      </c>
      <c r="AG22" s="154">
        <v>0</v>
      </c>
      <c r="AH22" s="154" t="s">
        <v>207</v>
      </c>
      <c r="AI22" s="154">
        <v>0</v>
      </c>
      <c r="AJ22" s="154" t="s">
        <v>207</v>
      </c>
      <c r="AK22" s="154">
        <v>0</v>
      </c>
      <c r="AL22" s="154" t="s">
        <v>207</v>
      </c>
      <c r="AM22" s="154">
        <v>0</v>
      </c>
      <c r="AN22" s="154" t="s">
        <v>207</v>
      </c>
      <c r="AO22" s="154">
        <v>111.15</v>
      </c>
      <c r="AP22" s="154" t="s">
        <v>207</v>
      </c>
      <c r="AQ22" s="154">
        <v>110.9</v>
      </c>
      <c r="AR22" s="154" t="s">
        <v>207</v>
      </c>
      <c r="AS22" s="154">
        <v>153.80000000000001</v>
      </c>
      <c r="AT22" s="154" t="s">
        <v>207</v>
      </c>
      <c r="AU22" s="154">
        <f t="shared" si="0"/>
        <v>1060.0840000000001</v>
      </c>
      <c r="AV22" s="154">
        <v>0.38</v>
      </c>
      <c r="AW22" s="154" t="s">
        <v>322</v>
      </c>
      <c r="AX22" s="154" t="s">
        <v>326</v>
      </c>
      <c r="AY22" s="154">
        <v>1</v>
      </c>
      <c r="AZ22" s="154" t="s">
        <v>327</v>
      </c>
    </row>
    <row r="23" spans="1:52" s="194" customFormat="1" ht="15" customHeight="1" x14ac:dyDescent="0.3">
      <c r="A23" s="73">
        <v>12</v>
      </c>
      <c r="B23" s="174" t="s">
        <v>590</v>
      </c>
      <c r="C23" s="154" t="s">
        <v>220</v>
      </c>
      <c r="D23" s="154" t="s">
        <v>204</v>
      </c>
      <c r="E23" s="154" t="s">
        <v>264</v>
      </c>
      <c r="F23" s="154" t="s">
        <v>332</v>
      </c>
      <c r="G23" s="175" t="s">
        <v>145</v>
      </c>
      <c r="H23" s="139" t="s">
        <v>146</v>
      </c>
      <c r="I23" s="193">
        <v>1</v>
      </c>
      <c r="J23" s="153" t="s">
        <v>252</v>
      </c>
      <c r="K23" s="174">
        <v>80</v>
      </c>
      <c r="L23" s="174">
        <v>7.2</v>
      </c>
      <c r="M23" s="174" t="s">
        <v>322</v>
      </c>
      <c r="N23" s="174" t="s">
        <v>218</v>
      </c>
      <c r="O23" s="174" t="s">
        <v>219</v>
      </c>
      <c r="P23" s="174" t="s">
        <v>218</v>
      </c>
      <c r="Q23" s="174" t="s">
        <v>218</v>
      </c>
      <c r="R23" s="153" t="s">
        <v>323</v>
      </c>
      <c r="S23" s="174" t="s">
        <v>219</v>
      </c>
      <c r="T23" s="153" t="s">
        <v>324</v>
      </c>
      <c r="U23" s="193" t="s">
        <v>325</v>
      </c>
      <c r="V23" s="193">
        <f>215.31+149.9+174.31</f>
        <v>539.52</v>
      </c>
      <c r="W23" s="154">
        <v>272.8</v>
      </c>
      <c r="X23" s="153" t="s">
        <v>207</v>
      </c>
      <c r="Y23" s="154">
        <v>171.85</v>
      </c>
      <c r="Z23" s="154" t="s">
        <v>207</v>
      </c>
      <c r="AA23" s="154">
        <v>265.57</v>
      </c>
      <c r="AB23" s="154" t="s">
        <v>207</v>
      </c>
      <c r="AC23" s="154">
        <v>132</v>
      </c>
      <c r="AD23" s="154" t="s">
        <v>207</v>
      </c>
      <c r="AE23" s="154">
        <v>51.51</v>
      </c>
      <c r="AF23" s="154" t="s">
        <v>207</v>
      </c>
      <c r="AG23" s="154">
        <v>0</v>
      </c>
      <c r="AH23" s="154" t="s">
        <v>207</v>
      </c>
      <c r="AI23" s="154">
        <v>0</v>
      </c>
      <c r="AJ23" s="154" t="s">
        <v>207</v>
      </c>
      <c r="AK23" s="154">
        <v>0</v>
      </c>
      <c r="AL23" s="154" t="s">
        <v>207</v>
      </c>
      <c r="AM23" s="154">
        <v>0</v>
      </c>
      <c r="AN23" s="154" t="s">
        <v>207</v>
      </c>
      <c r="AO23" s="154">
        <v>133.84</v>
      </c>
      <c r="AP23" s="154" t="s">
        <v>207</v>
      </c>
      <c r="AQ23" s="154">
        <v>130.1</v>
      </c>
      <c r="AR23" s="154" t="s">
        <v>207</v>
      </c>
      <c r="AS23" s="154">
        <v>208.09</v>
      </c>
      <c r="AT23" s="154" t="s">
        <v>207</v>
      </c>
      <c r="AU23" s="154">
        <f t="shared" si="0"/>
        <v>1365.7599999999998</v>
      </c>
      <c r="AV23" s="154">
        <v>0.49</v>
      </c>
      <c r="AW23" s="154" t="s">
        <v>322</v>
      </c>
      <c r="AX23" s="154" t="s">
        <v>326</v>
      </c>
      <c r="AY23" s="154">
        <v>1</v>
      </c>
      <c r="AZ23" s="154" t="s">
        <v>327</v>
      </c>
    </row>
    <row r="24" spans="1:52" s="194" customFormat="1" ht="15" customHeight="1" x14ac:dyDescent="0.3">
      <c r="A24" s="114">
        <v>13</v>
      </c>
      <c r="B24" s="174" t="s">
        <v>591</v>
      </c>
      <c r="C24" s="154" t="s">
        <v>220</v>
      </c>
      <c r="D24" s="154" t="s">
        <v>204</v>
      </c>
      <c r="E24" s="154" t="s">
        <v>264</v>
      </c>
      <c r="F24" s="154" t="s">
        <v>333</v>
      </c>
      <c r="G24" s="175" t="s">
        <v>145</v>
      </c>
      <c r="H24" s="139" t="s">
        <v>146</v>
      </c>
      <c r="I24" s="193">
        <v>1</v>
      </c>
      <c r="J24" s="153" t="s">
        <v>252</v>
      </c>
      <c r="K24" s="174">
        <v>80</v>
      </c>
      <c r="L24" s="174">
        <v>7.2</v>
      </c>
      <c r="M24" s="174" t="s">
        <v>322</v>
      </c>
      <c r="N24" s="174" t="s">
        <v>218</v>
      </c>
      <c r="O24" s="174" t="s">
        <v>219</v>
      </c>
      <c r="P24" s="174" t="s">
        <v>218</v>
      </c>
      <c r="Q24" s="174" t="s">
        <v>218</v>
      </c>
      <c r="R24" s="153" t="s">
        <v>323</v>
      </c>
      <c r="S24" s="174" t="s">
        <v>219</v>
      </c>
      <c r="T24" s="153" t="s">
        <v>324</v>
      </c>
      <c r="U24" s="193" t="s">
        <v>325</v>
      </c>
      <c r="V24" s="193">
        <f>175.015+149.975+147.966</f>
        <v>472.95600000000002</v>
      </c>
      <c r="W24" s="154">
        <v>245.10400000000001</v>
      </c>
      <c r="X24" s="153" t="s">
        <v>207</v>
      </c>
      <c r="Y24" s="154">
        <v>169.87799999999999</v>
      </c>
      <c r="Z24" s="154" t="s">
        <v>207</v>
      </c>
      <c r="AA24" s="154">
        <v>208.143</v>
      </c>
      <c r="AB24" s="154" t="s">
        <v>207</v>
      </c>
      <c r="AC24" s="154">
        <v>156.88</v>
      </c>
      <c r="AD24" s="154" t="s">
        <v>207</v>
      </c>
      <c r="AE24" s="154">
        <v>33.027000000000001</v>
      </c>
      <c r="AF24" s="154" t="s">
        <v>207</v>
      </c>
      <c r="AG24" s="154">
        <v>0</v>
      </c>
      <c r="AH24" s="154" t="s">
        <v>207</v>
      </c>
      <c r="AI24" s="154">
        <v>0</v>
      </c>
      <c r="AJ24" s="154" t="s">
        <v>207</v>
      </c>
      <c r="AK24" s="154">
        <v>0</v>
      </c>
      <c r="AL24" s="154" t="s">
        <v>207</v>
      </c>
      <c r="AM24" s="154">
        <v>0</v>
      </c>
      <c r="AN24" s="154" t="s">
        <v>207</v>
      </c>
      <c r="AO24" s="154">
        <v>139.4</v>
      </c>
      <c r="AP24" s="154" t="s">
        <v>207</v>
      </c>
      <c r="AQ24" s="154">
        <v>113.14</v>
      </c>
      <c r="AR24" s="154" t="s">
        <v>207</v>
      </c>
      <c r="AS24" s="154">
        <v>165.07</v>
      </c>
      <c r="AT24" s="154" t="s">
        <v>207</v>
      </c>
      <c r="AU24" s="154">
        <f t="shared" si="0"/>
        <v>1230.6420000000001</v>
      </c>
      <c r="AV24" s="195">
        <v>0.6</v>
      </c>
      <c r="AW24" s="154" t="s">
        <v>322</v>
      </c>
      <c r="AX24" s="154" t="s">
        <v>326</v>
      </c>
      <c r="AY24" s="154">
        <v>1</v>
      </c>
      <c r="AZ24" s="154" t="s">
        <v>327</v>
      </c>
    </row>
    <row r="25" spans="1:52" s="180" customFormat="1" ht="15" customHeight="1" x14ac:dyDescent="0.3">
      <c r="A25" s="114">
        <v>14</v>
      </c>
      <c r="B25" s="174" t="s">
        <v>592</v>
      </c>
      <c r="C25" s="154" t="s">
        <v>220</v>
      </c>
      <c r="D25" s="152" t="s">
        <v>360</v>
      </c>
      <c r="E25" s="152"/>
      <c r="F25" s="152" t="s">
        <v>361</v>
      </c>
      <c r="G25" s="175" t="s">
        <v>145</v>
      </c>
      <c r="H25" s="176" t="s">
        <v>146</v>
      </c>
      <c r="I25" s="180">
        <v>1</v>
      </c>
      <c r="J25" s="177"/>
      <c r="K25" s="177"/>
      <c r="L25" s="177"/>
      <c r="M25" s="177"/>
      <c r="N25" s="177" t="s">
        <v>218</v>
      </c>
      <c r="O25" s="177"/>
      <c r="P25" s="177"/>
      <c r="Q25" s="178"/>
      <c r="R25" s="177"/>
      <c r="S25" s="177"/>
      <c r="T25" s="177"/>
      <c r="U25" s="176"/>
      <c r="V25" s="176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152"/>
      <c r="AQ25" s="152"/>
      <c r="AR25" s="152"/>
      <c r="AS25" s="152"/>
      <c r="AT25" s="152"/>
      <c r="AU25" s="152"/>
      <c r="AV25" s="152"/>
      <c r="AW25" s="152"/>
      <c r="AX25" s="152"/>
      <c r="AY25" s="152"/>
      <c r="AZ25" s="152"/>
    </row>
    <row r="26" spans="1:52" s="180" customFormat="1" ht="15" customHeight="1" x14ac:dyDescent="0.3">
      <c r="A26" s="73">
        <v>15</v>
      </c>
      <c r="B26" s="174" t="s">
        <v>593</v>
      </c>
      <c r="C26" s="154" t="s">
        <v>220</v>
      </c>
      <c r="D26" s="152" t="s">
        <v>360</v>
      </c>
      <c r="E26" s="152"/>
      <c r="F26" s="152" t="s">
        <v>361</v>
      </c>
      <c r="G26" s="175" t="s">
        <v>145</v>
      </c>
      <c r="H26" s="176" t="s">
        <v>146</v>
      </c>
      <c r="I26" s="152">
        <v>1</v>
      </c>
      <c r="J26" s="177"/>
      <c r="K26" s="177"/>
      <c r="L26" s="177"/>
      <c r="M26" s="177"/>
      <c r="N26" s="177" t="s">
        <v>218</v>
      </c>
      <c r="O26" s="177"/>
      <c r="P26" s="177"/>
      <c r="Q26" s="178"/>
      <c r="R26" s="177"/>
      <c r="S26" s="177"/>
      <c r="T26" s="177"/>
      <c r="U26" s="176"/>
      <c r="V26" s="176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152"/>
      <c r="AQ26" s="152"/>
      <c r="AR26" s="152"/>
      <c r="AS26" s="152"/>
      <c r="AT26" s="152"/>
      <c r="AU26" s="152"/>
      <c r="AV26" s="152"/>
      <c r="AW26" s="152"/>
      <c r="AX26" s="152"/>
      <c r="AY26" s="152"/>
      <c r="AZ26" s="152"/>
    </row>
    <row r="27" spans="1:52" s="180" customFormat="1" ht="15" customHeight="1" x14ac:dyDescent="0.3">
      <c r="A27" s="114">
        <v>16</v>
      </c>
      <c r="B27" s="174" t="s">
        <v>594</v>
      </c>
      <c r="C27" s="154" t="s">
        <v>220</v>
      </c>
      <c r="D27" s="152" t="s">
        <v>362</v>
      </c>
      <c r="E27" s="152"/>
      <c r="F27" s="152" t="s">
        <v>361</v>
      </c>
      <c r="G27" s="175" t="s">
        <v>145</v>
      </c>
      <c r="H27" s="176" t="s">
        <v>146</v>
      </c>
      <c r="I27" s="176">
        <v>2</v>
      </c>
      <c r="J27" s="177"/>
      <c r="K27" s="177"/>
      <c r="L27" s="177"/>
      <c r="M27" s="177"/>
      <c r="N27" s="177" t="s">
        <v>218</v>
      </c>
      <c r="O27" s="177"/>
      <c r="P27" s="177"/>
      <c r="Q27" s="178"/>
      <c r="R27" s="177"/>
      <c r="S27" s="177"/>
      <c r="T27" s="177"/>
      <c r="U27" s="176"/>
      <c r="V27" s="176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2"/>
    </row>
    <row r="28" spans="1:52" s="180" customFormat="1" ht="15" customHeight="1" x14ac:dyDescent="0.3">
      <c r="A28" s="114">
        <v>17</v>
      </c>
      <c r="B28" s="174" t="s">
        <v>595</v>
      </c>
      <c r="C28" s="154" t="s">
        <v>220</v>
      </c>
      <c r="D28" s="152" t="s">
        <v>362</v>
      </c>
      <c r="E28" s="152"/>
      <c r="F28" s="152" t="s">
        <v>361</v>
      </c>
      <c r="G28" s="175" t="s">
        <v>145</v>
      </c>
      <c r="H28" s="176" t="s">
        <v>146</v>
      </c>
      <c r="I28" s="176">
        <v>2</v>
      </c>
      <c r="J28" s="177"/>
      <c r="K28" s="177"/>
      <c r="L28" s="177"/>
      <c r="M28" s="177"/>
      <c r="N28" s="177" t="s">
        <v>218</v>
      </c>
      <c r="O28" s="177"/>
      <c r="P28" s="177"/>
      <c r="Q28" s="178"/>
      <c r="R28" s="177"/>
      <c r="S28" s="177"/>
      <c r="T28" s="177"/>
      <c r="U28" s="176"/>
      <c r="V28" s="176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</row>
    <row r="29" spans="1:52" s="180" customFormat="1" ht="15" customHeight="1" x14ac:dyDescent="0.3">
      <c r="A29" s="73">
        <v>18</v>
      </c>
      <c r="B29" s="174" t="s">
        <v>596</v>
      </c>
      <c r="C29" s="154" t="s">
        <v>220</v>
      </c>
      <c r="D29" s="152" t="s">
        <v>360</v>
      </c>
      <c r="E29" s="152"/>
      <c r="F29" s="152" t="s">
        <v>361</v>
      </c>
      <c r="G29" s="175" t="s">
        <v>145</v>
      </c>
      <c r="H29" s="176" t="s">
        <v>146</v>
      </c>
      <c r="I29" s="176">
        <v>1</v>
      </c>
      <c r="J29" s="177"/>
      <c r="K29" s="177"/>
      <c r="L29" s="177"/>
      <c r="M29" s="177"/>
      <c r="N29" s="177" t="s">
        <v>218</v>
      </c>
      <c r="O29" s="177"/>
      <c r="P29" s="177"/>
      <c r="Q29" s="178"/>
      <c r="R29" s="177"/>
      <c r="S29" s="177"/>
      <c r="T29" s="177"/>
      <c r="U29" s="176"/>
      <c r="V29" s="176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</row>
    <row r="30" spans="1:52" s="180" customFormat="1" ht="15" customHeight="1" x14ac:dyDescent="0.3">
      <c r="A30" s="114">
        <v>19</v>
      </c>
      <c r="B30" s="174" t="s">
        <v>597</v>
      </c>
      <c r="C30" s="154" t="s">
        <v>220</v>
      </c>
      <c r="D30" s="152" t="s">
        <v>362</v>
      </c>
      <c r="E30" s="152"/>
      <c r="F30" s="152" t="s">
        <v>361</v>
      </c>
      <c r="G30" s="175" t="s">
        <v>145</v>
      </c>
      <c r="H30" s="176" t="s">
        <v>146</v>
      </c>
      <c r="I30" s="176">
        <v>1</v>
      </c>
      <c r="J30" s="177"/>
      <c r="K30" s="177"/>
      <c r="L30" s="177"/>
      <c r="M30" s="177"/>
      <c r="N30" s="177" t="s">
        <v>218</v>
      </c>
      <c r="O30" s="177"/>
      <c r="P30" s="177"/>
      <c r="Q30" s="178"/>
      <c r="R30" s="177"/>
      <c r="S30" s="177"/>
      <c r="T30" s="177"/>
      <c r="U30" s="176"/>
      <c r="V30" s="176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2"/>
      <c r="AN30" s="152"/>
      <c r="AO30" s="152"/>
      <c r="AP30" s="152"/>
      <c r="AQ30" s="152"/>
      <c r="AR30" s="152"/>
      <c r="AS30" s="152"/>
      <c r="AT30" s="152"/>
      <c r="AU30" s="152"/>
      <c r="AV30" s="152"/>
      <c r="AW30" s="152"/>
      <c r="AX30" s="152"/>
      <c r="AY30" s="152"/>
      <c r="AZ30" s="152"/>
    </row>
    <row r="31" spans="1:52" s="180" customFormat="1" ht="15" customHeight="1" x14ac:dyDescent="0.3">
      <c r="A31" s="114">
        <v>20</v>
      </c>
      <c r="B31" s="174" t="s">
        <v>598</v>
      </c>
      <c r="C31" s="154" t="s">
        <v>220</v>
      </c>
      <c r="D31" s="152" t="s">
        <v>362</v>
      </c>
      <c r="E31" s="152"/>
      <c r="F31" s="152" t="s">
        <v>361</v>
      </c>
      <c r="G31" s="175" t="s">
        <v>145</v>
      </c>
      <c r="H31" s="176" t="s">
        <v>146</v>
      </c>
      <c r="I31" s="176">
        <v>1</v>
      </c>
      <c r="J31" s="177"/>
      <c r="K31" s="177"/>
      <c r="L31" s="177"/>
      <c r="M31" s="177"/>
      <c r="N31" s="177" t="s">
        <v>218</v>
      </c>
      <c r="O31" s="177"/>
      <c r="P31" s="177"/>
      <c r="Q31" s="178"/>
      <c r="R31" s="177"/>
      <c r="S31" s="177"/>
      <c r="T31" s="177"/>
      <c r="U31" s="176"/>
      <c r="V31" s="176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  <c r="AX31" s="152"/>
      <c r="AY31" s="152"/>
      <c r="AZ31" s="152"/>
    </row>
    <row r="32" spans="1:52" s="180" customFormat="1" ht="15" customHeight="1" x14ac:dyDescent="0.3">
      <c r="A32" s="73">
        <v>21</v>
      </c>
      <c r="B32" s="174" t="s">
        <v>599</v>
      </c>
      <c r="C32" s="154" t="s">
        <v>220</v>
      </c>
      <c r="D32" s="152" t="s">
        <v>362</v>
      </c>
      <c r="E32" s="152"/>
      <c r="F32" s="152" t="s">
        <v>361</v>
      </c>
      <c r="G32" s="175" t="s">
        <v>145</v>
      </c>
      <c r="H32" s="176" t="s">
        <v>146</v>
      </c>
      <c r="I32" s="176">
        <v>1</v>
      </c>
      <c r="J32" s="177"/>
      <c r="K32" s="177"/>
      <c r="L32" s="177"/>
      <c r="M32" s="177"/>
      <c r="N32" s="177" t="s">
        <v>218</v>
      </c>
      <c r="O32" s="177"/>
      <c r="P32" s="177"/>
      <c r="Q32" s="178"/>
      <c r="R32" s="177"/>
      <c r="S32" s="177"/>
      <c r="T32" s="177"/>
      <c r="U32" s="176"/>
      <c r="V32" s="176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</row>
    <row r="33" spans="1:52" s="180" customFormat="1" ht="15" customHeight="1" x14ac:dyDescent="0.3">
      <c r="A33" s="114">
        <v>22</v>
      </c>
      <c r="B33" s="174" t="s">
        <v>600</v>
      </c>
      <c r="C33" s="154" t="s">
        <v>220</v>
      </c>
      <c r="D33" s="152" t="s">
        <v>360</v>
      </c>
      <c r="E33" s="152"/>
      <c r="F33" s="152" t="s">
        <v>361</v>
      </c>
      <c r="G33" s="175" t="s">
        <v>145</v>
      </c>
      <c r="H33" s="176" t="s">
        <v>146</v>
      </c>
      <c r="I33" s="176">
        <v>1</v>
      </c>
      <c r="J33" s="177"/>
      <c r="K33" s="177"/>
      <c r="L33" s="177"/>
      <c r="M33" s="177"/>
      <c r="N33" s="177" t="s">
        <v>218</v>
      </c>
      <c r="O33" s="177"/>
      <c r="P33" s="177"/>
      <c r="Q33" s="178"/>
      <c r="R33" s="177"/>
      <c r="S33" s="177"/>
      <c r="T33" s="177"/>
      <c r="U33" s="176"/>
      <c r="V33" s="176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152"/>
      <c r="AN33" s="152"/>
      <c r="AO33" s="152"/>
      <c r="AP33" s="152"/>
      <c r="AQ33" s="152"/>
      <c r="AR33" s="152"/>
      <c r="AS33" s="152"/>
      <c r="AT33" s="152"/>
      <c r="AU33" s="152"/>
      <c r="AV33" s="152"/>
      <c r="AW33" s="152"/>
      <c r="AX33" s="152"/>
      <c r="AY33" s="152"/>
      <c r="AZ33" s="152"/>
    </row>
    <row r="34" spans="1:52" s="180" customFormat="1" ht="15" customHeight="1" x14ac:dyDescent="0.3">
      <c r="A34" s="114">
        <v>23</v>
      </c>
      <c r="B34" s="174" t="s">
        <v>601</v>
      </c>
      <c r="C34" s="154" t="s">
        <v>220</v>
      </c>
      <c r="D34" s="152" t="s">
        <v>362</v>
      </c>
      <c r="E34" s="152"/>
      <c r="F34" s="152" t="s">
        <v>361</v>
      </c>
      <c r="G34" s="175" t="s">
        <v>145</v>
      </c>
      <c r="H34" s="176" t="s">
        <v>146</v>
      </c>
      <c r="I34" s="176">
        <v>1</v>
      </c>
      <c r="J34" s="177"/>
      <c r="K34" s="177"/>
      <c r="L34" s="177"/>
      <c r="M34" s="177"/>
      <c r="N34" s="177" t="s">
        <v>218</v>
      </c>
      <c r="O34" s="177"/>
      <c r="P34" s="177"/>
      <c r="Q34" s="178"/>
      <c r="R34" s="177"/>
      <c r="S34" s="177"/>
      <c r="T34" s="177"/>
      <c r="U34" s="176"/>
      <c r="V34" s="176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2"/>
      <c r="AN34" s="152"/>
      <c r="AO34" s="152"/>
      <c r="AP34" s="152"/>
      <c r="AQ34" s="152"/>
      <c r="AR34" s="152"/>
      <c r="AS34" s="152"/>
      <c r="AT34" s="152"/>
      <c r="AU34" s="152"/>
      <c r="AV34" s="152"/>
      <c r="AW34" s="152"/>
      <c r="AX34" s="152"/>
      <c r="AY34" s="152"/>
      <c r="AZ34" s="152"/>
    </row>
    <row r="35" spans="1:52" s="180" customFormat="1" ht="15" customHeight="1" x14ac:dyDescent="0.3">
      <c r="A35" s="73">
        <v>24</v>
      </c>
      <c r="B35" s="174" t="s">
        <v>602</v>
      </c>
      <c r="C35" s="154" t="s">
        <v>220</v>
      </c>
      <c r="D35" s="152" t="s">
        <v>360</v>
      </c>
      <c r="E35" s="152"/>
      <c r="F35" s="152" t="s">
        <v>361</v>
      </c>
      <c r="G35" s="175" t="s">
        <v>145</v>
      </c>
      <c r="H35" s="176" t="s">
        <v>146</v>
      </c>
      <c r="I35" s="176">
        <v>1</v>
      </c>
      <c r="J35" s="177"/>
      <c r="K35" s="177"/>
      <c r="L35" s="177"/>
      <c r="M35" s="177"/>
      <c r="N35" s="177" t="s">
        <v>218</v>
      </c>
      <c r="O35" s="177"/>
      <c r="P35" s="177"/>
      <c r="Q35" s="178"/>
      <c r="R35" s="177"/>
      <c r="S35" s="177"/>
      <c r="T35" s="177"/>
      <c r="U35" s="176"/>
      <c r="V35" s="176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</row>
    <row r="36" spans="1:52" s="180" customFormat="1" ht="15" customHeight="1" x14ac:dyDescent="0.3">
      <c r="A36" s="114">
        <v>25</v>
      </c>
      <c r="B36" s="174" t="s">
        <v>603</v>
      </c>
      <c r="C36" s="154" t="s">
        <v>220</v>
      </c>
      <c r="D36" s="152" t="s">
        <v>362</v>
      </c>
      <c r="E36" s="152"/>
      <c r="F36" s="152" t="s">
        <v>361</v>
      </c>
      <c r="G36" s="175" t="s">
        <v>145</v>
      </c>
      <c r="H36" s="176" t="s">
        <v>146</v>
      </c>
      <c r="I36" s="176">
        <v>1</v>
      </c>
      <c r="J36" s="177"/>
      <c r="K36" s="177"/>
      <c r="L36" s="177"/>
      <c r="M36" s="177"/>
      <c r="N36" s="177" t="s">
        <v>218</v>
      </c>
      <c r="O36" s="177"/>
      <c r="P36" s="177"/>
      <c r="Q36" s="178"/>
      <c r="R36" s="177"/>
      <c r="S36" s="177"/>
      <c r="T36" s="177"/>
      <c r="U36" s="176"/>
      <c r="V36" s="176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  <c r="AX36" s="152"/>
      <c r="AY36" s="152"/>
      <c r="AZ36" s="152"/>
    </row>
    <row r="37" spans="1:52" s="180" customFormat="1" ht="15" customHeight="1" x14ac:dyDescent="0.3">
      <c r="A37" s="114">
        <v>26</v>
      </c>
      <c r="B37" s="174" t="s">
        <v>604</v>
      </c>
      <c r="C37" s="154" t="s">
        <v>220</v>
      </c>
      <c r="D37" s="152" t="s">
        <v>360</v>
      </c>
      <c r="E37" s="152"/>
      <c r="F37" s="152" t="s">
        <v>361</v>
      </c>
      <c r="G37" s="175" t="s">
        <v>145</v>
      </c>
      <c r="H37" s="176" t="s">
        <v>146</v>
      </c>
      <c r="I37" s="176">
        <v>1</v>
      </c>
      <c r="J37" s="177"/>
      <c r="K37" s="177"/>
      <c r="L37" s="177"/>
      <c r="M37" s="177"/>
      <c r="N37" s="177" t="s">
        <v>218</v>
      </c>
      <c r="O37" s="177"/>
      <c r="P37" s="177"/>
      <c r="Q37" s="178"/>
      <c r="R37" s="177"/>
      <c r="S37" s="177"/>
      <c r="T37" s="177"/>
      <c r="U37" s="176"/>
      <c r="V37" s="176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  <c r="AY37" s="152"/>
      <c r="AZ37" s="152"/>
    </row>
    <row r="38" spans="1:52" s="180" customFormat="1" ht="15" customHeight="1" x14ac:dyDescent="0.3">
      <c r="A38" s="73">
        <v>27</v>
      </c>
      <c r="B38" s="174" t="s">
        <v>605</v>
      </c>
      <c r="C38" s="154" t="s">
        <v>220</v>
      </c>
      <c r="D38" s="152" t="s">
        <v>360</v>
      </c>
      <c r="E38" s="152"/>
      <c r="F38" s="152" t="s">
        <v>361</v>
      </c>
      <c r="G38" s="175" t="s">
        <v>145</v>
      </c>
      <c r="H38" s="176" t="s">
        <v>146</v>
      </c>
      <c r="I38" s="176">
        <v>1</v>
      </c>
      <c r="J38" s="177"/>
      <c r="K38" s="177"/>
      <c r="L38" s="177"/>
      <c r="M38" s="177"/>
      <c r="N38" s="177" t="s">
        <v>218</v>
      </c>
      <c r="O38" s="177"/>
      <c r="P38" s="177"/>
      <c r="Q38" s="178"/>
      <c r="R38" s="177"/>
      <c r="S38" s="177"/>
      <c r="T38" s="177"/>
      <c r="U38" s="176"/>
      <c r="V38" s="176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/>
      <c r="AZ38" s="152"/>
    </row>
    <row r="39" spans="1:52" s="180" customFormat="1" ht="15" customHeight="1" x14ac:dyDescent="0.3">
      <c r="A39" s="114">
        <v>28</v>
      </c>
      <c r="B39" s="174" t="s">
        <v>606</v>
      </c>
      <c r="C39" s="154" t="s">
        <v>220</v>
      </c>
      <c r="D39" s="152" t="s">
        <v>360</v>
      </c>
      <c r="E39" s="152"/>
      <c r="F39" s="152" t="s">
        <v>361</v>
      </c>
      <c r="G39" s="175" t="s">
        <v>145</v>
      </c>
      <c r="H39" s="176" t="s">
        <v>146</v>
      </c>
      <c r="I39" s="176">
        <v>1</v>
      </c>
      <c r="J39" s="177"/>
      <c r="K39" s="177"/>
      <c r="L39" s="177"/>
      <c r="M39" s="177"/>
      <c r="N39" s="177" t="s">
        <v>218</v>
      </c>
      <c r="O39" s="177"/>
      <c r="P39" s="177"/>
      <c r="Q39" s="178"/>
      <c r="R39" s="177"/>
      <c r="S39" s="177"/>
      <c r="T39" s="177"/>
      <c r="U39" s="176"/>
      <c r="V39" s="176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52"/>
      <c r="AW39" s="152"/>
      <c r="AX39" s="152"/>
      <c r="AY39" s="152"/>
      <c r="AZ39" s="152"/>
    </row>
    <row r="40" spans="1:52" s="180" customFormat="1" ht="15" customHeight="1" x14ac:dyDescent="0.3">
      <c r="A40" s="114">
        <v>29</v>
      </c>
      <c r="B40" s="174" t="s">
        <v>607</v>
      </c>
      <c r="C40" s="154" t="s">
        <v>220</v>
      </c>
      <c r="D40" s="152" t="s">
        <v>360</v>
      </c>
      <c r="E40" s="152"/>
      <c r="F40" s="152" t="s">
        <v>361</v>
      </c>
      <c r="G40" s="175" t="s">
        <v>145</v>
      </c>
      <c r="H40" s="176" t="s">
        <v>146</v>
      </c>
      <c r="I40" s="176">
        <v>1</v>
      </c>
      <c r="J40" s="177"/>
      <c r="K40" s="177"/>
      <c r="L40" s="177"/>
      <c r="M40" s="177"/>
      <c r="N40" s="177" t="s">
        <v>218</v>
      </c>
      <c r="O40" s="177"/>
      <c r="P40" s="177"/>
      <c r="Q40" s="178"/>
      <c r="R40" s="177"/>
      <c r="S40" s="177"/>
      <c r="T40" s="177"/>
      <c r="U40" s="176"/>
      <c r="V40" s="176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152"/>
      <c r="AX40" s="152"/>
      <c r="AY40" s="152"/>
      <c r="AZ40" s="152"/>
    </row>
    <row r="41" spans="1:52" s="180" customFormat="1" ht="15" customHeight="1" x14ac:dyDescent="0.3">
      <c r="A41" s="73">
        <v>30</v>
      </c>
      <c r="B41" s="174" t="s">
        <v>608</v>
      </c>
      <c r="C41" s="154" t="s">
        <v>220</v>
      </c>
      <c r="D41" s="152" t="s">
        <v>360</v>
      </c>
      <c r="E41" s="152"/>
      <c r="F41" s="152" t="s">
        <v>361</v>
      </c>
      <c r="G41" s="175" t="s">
        <v>145</v>
      </c>
      <c r="H41" s="176" t="s">
        <v>146</v>
      </c>
      <c r="I41" s="176">
        <v>1</v>
      </c>
      <c r="J41" s="177"/>
      <c r="K41" s="177"/>
      <c r="L41" s="177"/>
      <c r="M41" s="177"/>
      <c r="N41" s="177" t="s">
        <v>218</v>
      </c>
      <c r="O41" s="177"/>
      <c r="P41" s="177"/>
      <c r="Q41" s="178"/>
      <c r="R41" s="177"/>
      <c r="S41" s="177"/>
      <c r="T41" s="177"/>
      <c r="U41" s="176"/>
      <c r="V41" s="176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  <c r="AT41" s="152"/>
      <c r="AU41" s="152"/>
      <c r="AV41" s="152"/>
      <c r="AW41" s="152"/>
      <c r="AX41" s="152"/>
      <c r="AY41" s="152"/>
      <c r="AZ41" s="152"/>
    </row>
    <row r="42" spans="1:52" s="180" customFormat="1" ht="15" customHeight="1" x14ac:dyDescent="0.3">
      <c r="A42" s="114">
        <v>31</v>
      </c>
      <c r="B42" s="174" t="s">
        <v>609</v>
      </c>
      <c r="C42" s="154" t="s">
        <v>220</v>
      </c>
      <c r="D42" s="152" t="s">
        <v>360</v>
      </c>
      <c r="E42" s="152"/>
      <c r="F42" s="152" t="s">
        <v>361</v>
      </c>
      <c r="G42" s="175" t="s">
        <v>145</v>
      </c>
      <c r="H42" s="176" t="s">
        <v>146</v>
      </c>
      <c r="I42" s="176">
        <v>1</v>
      </c>
      <c r="J42" s="177"/>
      <c r="K42" s="177"/>
      <c r="L42" s="177"/>
      <c r="M42" s="177"/>
      <c r="N42" s="177" t="s">
        <v>218</v>
      </c>
      <c r="O42" s="177"/>
      <c r="P42" s="177"/>
      <c r="Q42" s="178"/>
      <c r="R42" s="177"/>
      <c r="S42" s="177"/>
      <c r="T42" s="177"/>
      <c r="U42" s="176"/>
      <c r="V42" s="176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  <c r="AI42" s="152"/>
      <c r="AJ42" s="152"/>
      <c r="AK42" s="152"/>
      <c r="AL42" s="152"/>
      <c r="AM42" s="152"/>
      <c r="AN42" s="152"/>
      <c r="AO42" s="152"/>
      <c r="AP42" s="152"/>
      <c r="AQ42" s="152"/>
      <c r="AR42" s="152"/>
      <c r="AS42" s="152"/>
      <c r="AT42" s="152"/>
      <c r="AU42" s="152"/>
      <c r="AV42" s="152"/>
      <c r="AW42" s="152"/>
      <c r="AX42" s="152"/>
      <c r="AY42" s="152"/>
      <c r="AZ42" s="152"/>
    </row>
    <row r="43" spans="1:52" s="180" customFormat="1" ht="15" customHeight="1" x14ac:dyDescent="0.3">
      <c r="A43" s="114">
        <v>32</v>
      </c>
      <c r="B43" s="174" t="s">
        <v>610</v>
      </c>
      <c r="C43" s="154" t="s">
        <v>220</v>
      </c>
      <c r="D43" s="152" t="s">
        <v>360</v>
      </c>
      <c r="E43" s="152"/>
      <c r="F43" s="152" t="s">
        <v>361</v>
      </c>
      <c r="G43" s="175" t="s">
        <v>145</v>
      </c>
      <c r="H43" s="176" t="s">
        <v>146</v>
      </c>
      <c r="I43" s="176">
        <v>1</v>
      </c>
      <c r="J43" s="177"/>
      <c r="K43" s="177"/>
      <c r="L43" s="177"/>
      <c r="M43" s="177"/>
      <c r="N43" s="177" t="s">
        <v>218</v>
      </c>
      <c r="O43" s="177"/>
      <c r="P43" s="177"/>
      <c r="Q43" s="178"/>
      <c r="R43" s="177"/>
      <c r="S43" s="177"/>
      <c r="T43" s="177"/>
      <c r="U43" s="176"/>
      <c r="V43" s="176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152"/>
      <c r="AT43" s="152"/>
      <c r="AU43" s="152"/>
      <c r="AV43" s="152"/>
      <c r="AW43" s="152"/>
      <c r="AX43" s="152"/>
      <c r="AY43" s="152"/>
      <c r="AZ43" s="152"/>
    </row>
    <row r="44" spans="1:52" s="180" customFormat="1" ht="15" customHeight="1" x14ac:dyDescent="0.3">
      <c r="A44" s="73">
        <v>33</v>
      </c>
      <c r="B44" s="174" t="s">
        <v>611</v>
      </c>
      <c r="C44" s="154" t="s">
        <v>220</v>
      </c>
      <c r="D44" s="152" t="s">
        <v>362</v>
      </c>
      <c r="E44" s="152"/>
      <c r="F44" s="152" t="s">
        <v>361</v>
      </c>
      <c r="G44" s="175" t="s">
        <v>145</v>
      </c>
      <c r="H44" s="176" t="s">
        <v>146</v>
      </c>
      <c r="I44" s="176">
        <v>1</v>
      </c>
      <c r="J44" s="177"/>
      <c r="K44" s="177"/>
      <c r="L44" s="177"/>
      <c r="M44" s="177"/>
      <c r="N44" s="177" t="s">
        <v>218</v>
      </c>
      <c r="O44" s="177"/>
      <c r="P44" s="177"/>
      <c r="Q44" s="178"/>
      <c r="R44" s="177"/>
      <c r="S44" s="177"/>
      <c r="T44" s="177"/>
      <c r="U44" s="176"/>
      <c r="V44" s="176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  <c r="AT44" s="152"/>
      <c r="AU44" s="152"/>
      <c r="AV44" s="152"/>
      <c r="AW44" s="152"/>
      <c r="AX44" s="152"/>
      <c r="AY44" s="152"/>
      <c r="AZ44" s="152"/>
    </row>
    <row r="45" spans="1:52" s="180" customFormat="1" ht="15" customHeight="1" x14ac:dyDescent="0.3">
      <c r="A45" s="114">
        <v>34</v>
      </c>
      <c r="B45" s="174" t="s">
        <v>612</v>
      </c>
      <c r="C45" s="154" t="s">
        <v>220</v>
      </c>
      <c r="D45" s="152" t="s">
        <v>362</v>
      </c>
      <c r="E45" s="152"/>
      <c r="F45" s="152" t="s">
        <v>361</v>
      </c>
      <c r="G45" s="175" t="s">
        <v>145</v>
      </c>
      <c r="H45" s="176" t="s">
        <v>146</v>
      </c>
      <c r="I45" s="176">
        <v>1</v>
      </c>
      <c r="J45" s="177"/>
      <c r="K45" s="177"/>
      <c r="L45" s="177"/>
      <c r="M45" s="177"/>
      <c r="N45" s="177" t="s">
        <v>218</v>
      </c>
      <c r="O45" s="177"/>
      <c r="P45" s="177"/>
      <c r="Q45" s="178"/>
      <c r="R45" s="177"/>
      <c r="S45" s="177"/>
      <c r="T45" s="177"/>
      <c r="U45" s="176"/>
      <c r="V45" s="176"/>
      <c r="W45" s="152"/>
      <c r="X45" s="152"/>
      <c r="Y45" s="152"/>
      <c r="Z45" s="152"/>
      <c r="AA45" s="152"/>
      <c r="AB45" s="152"/>
      <c r="AC45" s="152"/>
      <c r="AD45" s="152"/>
      <c r="AE45" s="152"/>
      <c r="AF45" s="152"/>
      <c r="AG45" s="152"/>
      <c r="AH45" s="152"/>
      <c r="AI45" s="152"/>
      <c r="AJ45" s="152"/>
      <c r="AK45" s="152"/>
      <c r="AL45" s="152"/>
      <c r="AM45" s="152"/>
      <c r="AN45" s="152"/>
      <c r="AO45" s="152"/>
      <c r="AP45" s="152"/>
      <c r="AQ45" s="152"/>
      <c r="AR45" s="152"/>
      <c r="AS45" s="152"/>
      <c r="AT45" s="152"/>
      <c r="AU45" s="152"/>
      <c r="AV45" s="152"/>
      <c r="AW45" s="152"/>
      <c r="AX45" s="152"/>
      <c r="AY45" s="152"/>
      <c r="AZ45" s="152"/>
    </row>
    <row r="46" spans="1:52" s="180" customFormat="1" ht="15" customHeight="1" x14ac:dyDescent="0.3">
      <c r="A46" s="114">
        <v>35</v>
      </c>
      <c r="B46" s="174" t="s">
        <v>613</v>
      </c>
      <c r="C46" s="154" t="s">
        <v>220</v>
      </c>
      <c r="D46" s="152" t="s">
        <v>362</v>
      </c>
      <c r="E46" s="152"/>
      <c r="F46" s="152" t="s">
        <v>361</v>
      </c>
      <c r="G46" s="175" t="s">
        <v>145</v>
      </c>
      <c r="H46" s="176" t="s">
        <v>146</v>
      </c>
      <c r="I46" s="176">
        <v>1</v>
      </c>
      <c r="J46" s="177"/>
      <c r="K46" s="177"/>
      <c r="L46" s="177"/>
      <c r="M46" s="177"/>
      <c r="N46" s="177" t="s">
        <v>218</v>
      </c>
      <c r="O46" s="177"/>
      <c r="P46" s="177"/>
      <c r="Q46" s="178"/>
      <c r="R46" s="177"/>
      <c r="S46" s="177"/>
      <c r="T46" s="177"/>
      <c r="U46" s="176"/>
      <c r="V46" s="176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  <c r="AH46" s="152"/>
      <c r="AI46" s="152"/>
      <c r="AJ46" s="152"/>
      <c r="AK46" s="152"/>
      <c r="AL46" s="152"/>
      <c r="AM46" s="152"/>
      <c r="AN46" s="152"/>
      <c r="AO46" s="152"/>
      <c r="AP46" s="152"/>
      <c r="AQ46" s="152"/>
      <c r="AR46" s="152"/>
      <c r="AS46" s="152"/>
      <c r="AT46" s="152"/>
      <c r="AU46" s="152"/>
      <c r="AV46" s="152"/>
      <c r="AW46" s="152"/>
      <c r="AX46" s="152"/>
      <c r="AY46" s="152"/>
      <c r="AZ46" s="152"/>
    </row>
    <row r="47" spans="1:52" s="180" customFormat="1" ht="15" customHeight="1" x14ac:dyDescent="0.3">
      <c r="A47" s="73">
        <v>36</v>
      </c>
      <c r="B47" s="174" t="s">
        <v>614</v>
      </c>
      <c r="C47" s="154" t="s">
        <v>220</v>
      </c>
      <c r="D47" s="152" t="s">
        <v>362</v>
      </c>
      <c r="E47" s="152"/>
      <c r="F47" s="152" t="s">
        <v>361</v>
      </c>
      <c r="G47" s="175" t="s">
        <v>145</v>
      </c>
      <c r="H47" s="176" t="s">
        <v>146</v>
      </c>
      <c r="I47" s="176">
        <v>1</v>
      </c>
      <c r="J47" s="177"/>
      <c r="K47" s="177"/>
      <c r="L47" s="177"/>
      <c r="M47" s="177"/>
      <c r="N47" s="177" t="s">
        <v>218</v>
      </c>
      <c r="O47" s="177"/>
      <c r="P47" s="177"/>
      <c r="Q47" s="178"/>
      <c r="R47" s="177"/>
      <c r="S47" s="177"/>
      <c r="T47" s="177"/>
      <c r="U47" s="176"/>
      <c r="V47" s="176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  <c r="AS47" s="152"/>
      <c r="AT47" s="152"/>
      <c r="AU47" s="152"/>
      <c r="AV47" s="152"/>
      <c r="AW47" s="152"/>
      <c r="AX47" s="152"/>
      <c r="AY47" s="152"/>
      <c r="AZ47" s="152"/>
    </row>
    <row r="48" spans="1:52" s="180" customFormat="1" ht="15" customHeight="1" x14ac:dyDescent="0.3">
      <c r="A48" s="114">
        <v>37</v>
      </c>
      <c r="B48" s="174" t="s">
        <v>615</v>
      </c>
      <c r="C48" s="154" t="s">
        <v>220</v>
      </c>
      <c r="D48" s="152" t="s">
        <v>362</v>
      </c>
      <c r="E48" s="152"/>
      <c r="F48" s="152" t="s">
        <v>361</v>
      </c>
      <c r="G48" s="175" t="s">
        <v>145</v>
      </c>
      <c r="H48" s="176" t="s">
        <v>146</v>
      </c>
      <c r="I48" s="180">
        <v>1</v>
      </c>
      <c r="J48" s="177"/>
      <c r="K48" s="177"/>
      <c r="L48" s="177"/>
      <c r="M48" s="177"/>
      <c r="N48" s="177" t="s">
        <v>218</v>
      </c>
      <c r="O48" s="177"/>
      <c r="P48" s="177"/>
      <c r="Q48" s="178"/>
      <c r="R48" s="177"/>
      <c r="S48" s="177"/>
      <c r="T48" s="177"/>
      <c r="U48" s="176"/>
      <c r="V48" s="176"/>
      <c r="W48" s="152"/>
      <c r="X48" s="152"/>
      <c r="Y48" s="152"/>
      <c r="Z48" s="152"/>
      <c r="AA48" s="152"/>
      <c r="AB48" s="152"/>
      <c r="AC48" s="152"/>
      <c r="AD48" s="152"/>
      <c r="AE48" s="152"/>
      <c r="AF48" s="152"/>
      <c r="AG48" s="152"/>
      <c r="AH48" s="152"/>
      <c r="AI48" s="152"/>
      <c r="AJ48" s="152"/>
      <c r="AK48" s="152"/>
      <c r="AL48" s="152"/>
      <c r="AM48" s="152"/>
      <c r="AN48" s="152"/>
      <c r="AO48" s="152"/>
      <c r="AP48" s="152"/>
      <c r="AQ48" s="152"/>
      <c r="AR48" s="152"/>
      <c r="AS48" s="152"/>
      <c r="AT48" s="152"/>
      <c r="AU48" s="152"/>
      <c r="AV48" s="152"/>
      <c r="AW48" s="152"/>
      <c r="AX48" s="152"/>
      <c r="AY48" s="152"/>
      <c r="AZ48" s="152"/>
    </row>
    <row r="49" spans="1:52" s="180" customFormat="1" ht="15" customHeight="1" x14ac:dyDescent="0.3">
      <c r="A49" s="114">
        <v>38</v>
      </c>
      <c r="B49" s="174" t="s">
        <v>616</v>
      </c>
      <c r="C49" s="154" t="s">
        <v>220</v>
      </c>
      <c r="D49" s="152" t="s">
        <v>362</v>
      </c>
      <c r="E49" s="152"/>
      <c r="F49" s="152" t="s">
        <v>361</v>
      </c>
      <c r="G49" s="175" t="s">
        <v>145</v>
      </c>
      <c r="H49" s="176" t="s">
        <v>146</v>
      </c>
      <c r="I49" s="152">
        <v>3</v>
      </c>
      <c r="J49" s="177"/>
      <c r="K49" s="177"/>
      <c r="L49" s="177"/>
      <c r="M49" s="177"/>
      <c r="N49" s="177" t="s">
        <v>218</v>
      </c>
      <c r="O49" s="177"/>
      <c r="P49" s="177"/>
      <c r="Q49" s="178"/>
      <c r="R49" s="177"/>
      <c r="S49" s="177"/>
      <c r="T49" s="177"/>
      <c r="U49" s="176"/>
      <c r="V49" s="176"/>
      <c r="W49" s="152"/>
      <c r="X49" s="152"/>
      <c r="Y49" s="152"/>
      <c r="Z49" s="152"/>
      <c r="AA49" s="152"/>
      <c r="AB49" s="152"/>
      <c r="AC49" s="152"/>
      <c r="AD49" s="152"/>
      <c r="AE49" s="152"/>
      <c r="AF49" s="152"/>
      <c r="AG49" s="152"/>
      <c r="AH49" s="152"/>
      <c r="AI49" s="152"/>
      <c r="AJ49" s="152"/>
      <c r="AK49" s="152"/>
      <c r="AL49" s="152"/>
      <c r="AM49" s="152"/>
      <c r="AN49" s="152"/>
      <c r="AO49" s="152"/>
      <c r="AP49" s="152"/>
      <c r="AQ49" s="152"/>
      <c r="AR49" s="152"/>
      <c r="AS49" s="152"/>
      <c r="AT49" s="152"/>
      <c r="AU49" s="152"/>
      <c r="AV49" s="152"/>
      <c r="AW49" s="152"/>
      <c r="AX49" s="152"/>
      <c r="AY49" s="152"/>
      <c r="AZ49" s="152"/>
    </row>
    <row r="50" spans="1:52" s="205" customFormat="1" ht="15" customHeight="1" x14ac:dyDescent="0.3">
      <c r="A50" s="114">
        <v>39</v>
      </c>
      <c r="B50" s="174" t="s">
        <v>617</v>
      </c>
      <c r="C50" s="173" t="s">
        <v>435</v>
      </c>
      <c r="D50" s="196" t="s">
        <v>288</v>
      </c>
      <c r="E50" s="196" t="s">
        <v>205</v>
      </c>
      <c r="F50" s="186" t="s">
        <v>436</v>
      </c>
      <c r="G50" s="197" t="s">
        <v>145</v>
      </c>
      <c r="H50" s="198" t="s">
        <v>146</v>
      </c>
      <c r="I50" s="199">
        <v>1</v>
      </c>
      <c r="J50" s="200" t="s">
        <v>437</v>
      </c>
      <c r="K50" s="201">
        <v>50</v>
      </c>
      <c r="L50" s="202"/>
      <c r="M50" s="200" t="s">
        <v>438</v>
      </c>
      <c r="N50" s="200" t="s">
        <v>218</v>
      </c>
      <c r="O50" s="200" t="s">
        <v>219</v>
      </c>
      <c r="P50" s="200" t="s">
        <v>218</v>
      </c>
      <c r="Q50" s="200" t="s">
        <v>219</v>
      </c>
      <c r="R50" s="200" t="s">
        <v>208</v>
      </c>
      <c r="S50" s="200" t="s">
        <v>219</v>
      </c>
      <c r="T50" s="173" t="s">
        <v>439</v>
      </c>
      <c r="U50" s="199"/>
      <c r="V50" s="199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>
        <v>56.59</v>
      </c>
      <c r="AJ50" s="196" t="s">
        <v>207</v>
      </c>
      <c r="AK50" s="196">
        <v>68.819999999999993</v>
      </c>
      <c r="AL50" s="196" t="s">
        <v>207</v>
      </c>
      <c r="AM50" s="196">
        <v>63.03</v>
      </c>
      <c r="AN50" s="196" t="s">
        <v>207</v>
      </c>
      <c r="AO50" s="203">
        <v>179.63</v>
      </c>
      <c r="AP50" s="196" t="s">
        <v>207</v>
      </c>
      <c r="AQ50" s="196">
        <v>163.41</v>
      </c>
      <c r="AR50" s="196" t="s">
        <v>207</v>
      </c>
      <c r="AS50" s="196">
        <v>227.28</v>
      </c>
      <c r="AT50" s="196" t="s">
        <v>207</v>
      </c>
      <c r="AU50" s="196">
        <f t="shared" ref="AU50:AU113" si="1">SUM(W50,Y50,AA50,AC50,AE50,AG50,AI50,AK50,AM50,AO50,AQ50,AS50)</f>
        <v>758.76</v>
      </c>
      <c r="AV50" s="199">
        <v>0.89</v>
      </c>
      <c r="AW50" s="199" t="str">
        <f t="shared" ref="AW50:AW58" si="2">M50</f>
        <v>150/70</v>
      </c>
      <c r="AX50" s="204" t="s">
        <v>296</v>
      </c>
      <c r="AY50" s="199">
        <v>1</v>
      </c>
      <c r="AZ50" s="199" t="s">
        <v>440</v>
      </c>
    </row>
    <row r="51" spans="1:52" s="205" customFormat="1" ht="15" customHeight="1" x14ac:dyDescent="0.3">
      <c r="A51" s="73">
        <v>40</v>
      </c>
      <c r="B51" s="174" t="s">
        <v>618</v>
      </c>
      <c r="C51" s="196" t="s">
        <v>441</v>
      </c>
      <c r="D51" s="196" t="s">
        <v>204</v>
      </c>
      <c r="E51" s="196" t="s">
        <v>250</v>
      </c>
      <c r="F51" s="196" t="s">
        <v>442</v>
      </c>
      <c r="G51" s="197" t="s">
        <v>145</v>
      </c>
      <c r="H51" s="198" t="s">
        <v>146</v>
      </c>
      <c r="I51" s="199">
        <v>2</v>
      </c>
      <c r="J51" s="200" t="s">
        <v>443</v>
      </c>
      <c r="K51" s="200">
        <v>100</v>
      </c>
      <c r="L51" s="200">
        <v>6</v>
      </c>
      <c r="M51" s="200" t="s">
        <v>438</v>
      </c>
      <c r="N51" s="200" t="s">
        <v>218</v>
      </c>
      <c r="O51" s="200" t="s">
        <v>219</v>
      </c>
      <c r="P51" s="200" t="s">
        <v>218</v>
      </c>
      <c r="Q51" s="200" t="s">
        <v>219</v>
      </c>
      <c r="R51" s="200" t="s">
        <v>296</v>
      </c>
      <c r="S51" s="200" t="s">
        <v>219</v>
      </c>
      <c r="T51" s="200" t="s">
        <v>444</v>
      </c>
      <c r="U51" s="199">
        <v>1974.79</v>
      </c>
      <c r="V51" s="199">
        <v>1856.27</v>
      </c>
      <c r="W51" s="196">
        <v>236.64</v>
      </c>
      <c r="X51" s="173" t="s">
        <v>207</v>
      </c>
      <c r="Y51" s="196">
        <v>216.64</v>
      </c>
      <c r="Z51" s="173" t="s">
        <v>207</v>
      </c>
      <c r="AA51" s="196">
        <v>198.2</v>
      </c>
      <c r="AB51" s="173" t="s">
        <v>207</v>
      </c>
      <c r="AC51" s="196">
        <v>155.06</v>
      </c>
      <c r="AD51" s="173" t="s">
        <v>207</v>
      </c>
      <c r="AE51" s="196">
        <v>75.63</v>
      </c>
      <c r="AF51" s="173" t="s">
        <v>207</v>
      </c>
      <c r="AG51" s="196">
        <v>28.73</v>
      </c>
      <c r="AH51" s="173" t="s">
        <v>207</v>
      </c>
      <c r="AI51" s="206">
        <v>33.875510204081628</v>
      </c>
      <c r="AJ51" s="173" t="s">
        <v>207</v>
      </c>
      <c r="AK51" s="196">
        <v>31.38</v>
      </c>
      <c r="AL51" s="173" t="s">
        <v>207</v>
      </c>
      <c r="AM51" s="196">
        <v>29.26</v>
      </c>
      <c r="AN51" s="173" t="s">
        <v>207</v>
      </c>
      <c r="AO51" s="196">
        <v>112.73</v>
      </c>
      <c r="AP51" s="173" t="s">
        <v>207</v>
      </c>
      <c r="AQ51" s="196">
        <v>127.14</v>
      </c>
      <c r="AR51" s="173" t="s">
        <v>207</v>
      </c>
      <c r="AS51" s="196">
        <v>178.23</v>
      </c>
      <c r="AT51" s="173" t="s">
        <v>207</v>
      </c>
      <c r="AU51" s="196">
        <f t="shared" si="1"/>
        <v>1423.5155102040817</v>
      </c>
      <c r="AV51" s="199">
        <v>0.56999999999999995</v>
      </c>
      <c r="AW51" s="173" t="str">
        <f t="shared" si="2"/>
        <v>150/70</v>
      </c>
      <c r="AX51" s="196" t="str">
        <f t="shared" ref="AX51:AX58" si="3">R51</f>
        <v>зависимая</v>
      </c>
      <c r="AY51" s="196">
        <v>1</v>
      </c>
      <c r="AZ51" s="196" t="s">
        <v>440</v>
      </c>
    </row>
    <row r="52" spans="1:52" s="205" customFormat="1" ht="15" customHeight="1" x14ac:dyDescent="0.3">
      <c r="A52" s="114">
        <v>41</v>
      </c>
      <c r="B52" s="174" t="s">
        <v>619</v>
      </c>
      <c r="C52" s="186" t="s">
        <v>445</v>
      </c>
      <c r="D52" s="196" t="s">
        <v>288</v>
      </c>
      <c r="E52" s="196" t="s">
        <v>264</v>
      </c>
      <c r="F52" s="196" t="s">
        <v>442</v>
      </c>
      <c r="G52" s="197" t="s">
        <v>145</v>
      </c>
      <c r="H52" s="198" t="s">
        <v>146</v>
      </c>
      <c r="I52" s="199">
        <v>1</v>
      </c>
      <c r="J52" s="200" t="s">
        <v>446</v>
      </c>
      <c r="K52" s="200">
        <v>32</v>
      </c>
      <c r="L52" s="200">
        <v>8.14</v>
      </c>
      <c r="M52" s="200" t="s">
        <v>438</v>
      </c>
      <c r="N52" s="200" t="s">
        <v>218</v>
      </c>
      <c r="O52" s="200" t="s">
        <v>219</v>
      </c>
      <c r="P52" s="200" t="s">
        <v>218</v>
      </c>
      <c r="Q52" s="200" t="s">
        <v>219</v>
      </c>
      <c r="R52" s="200" t="s">
        <v>296</v>
      </c>
      <c r="S52" s="200" t="s">
        <v>219</v>
      </c>
      <c r="T52" s="200" t="s">
        <v>444</v>
      </c>
      <c r="U52" s="207">
        <v>764.06</v>
      </c>
      <c r="V52" s="207">
        <v>707.22</v>
      </c>
      <c r="W52" s="196">
        <v>0</v>
      </c>
      <c r="X52" s="173" t="s">
        <v>207</v>
      </c>
      <c r="Y52" s="196">
        <v>72.86</v>
      </c>
      <c r="Z52" s="173" t="s">
        <v>207</v>
      </c>
      <c r="AA52" s="196">
        <v>100.32</v>
      </c>
      <c r="AB52" s="173" t="s">
        <v>207</v>
      </c>
      <c r="AC52" s="196">
        <v>55.4</v>
      </c>
      <c r="AD52" s="173" t="s">
        <v>207</v>
      </c>
      <c r="AE52" s="196">
        <v>24.39</v>
      </c>
      <c r="AF52" s="173" t="s">
        <v>207</v>
      </c>
      <c r="AG52" s="196">
        <v>12.56</v>
      </c>
      <c r="AH52" s="173" t="s">
        <v>207</v>
      </c>
      <c r="AI52" s="196">
        <v>12.94</v>
      </c>
      <c r="AJ52" s="173" t="s">
        <v>207</v>
      </c>
      <c r="AK52" s="196">
        <v>12.57</v>
      </c>
      <c r="AL52" s="173" t="s">
        <v>207</v>
      </c>
      <c r="AM52" s="196">
        <v>13.24</v>
      </c>
      <c r="AN52" s="173" t="s">
        <v>207</v>
      </c>
      <c r="AO52" s="196">
        <v>67.3</v>
      </c>
      <c r="AP52" s="173" t="s">
        <v>207</v>
      </c>
      <c r="AQ52" s="196">
        <v>57.74</v>
      </c>
      <c r="AR52" s="173" t="s">
        <v>207</v>
      </c>
      <c r="AS52" s="196">
        <v>75.099999999999994</v>
      </c>
      <c r="AT52" s="173" t="s">
        <v>207</v>
      </c>
      <c r="AU52" s="196">
        <f t="shared" si="1"/>
        <v>504.42000000000007</v>
      </c>
      <c r="AV52" s="199">
        <v>0.34</v>
      </c>
      <c r="AW52" s="199" t="str">
        <f t="shared" si="2"/>
        <v>150/70</v>
      </c>
      <c r="AX52" s="196" t="str">
        <f t="shared" si="3"/>
        <v>зависимая</v>
      </c>
      <c r="AY52" s="196">
        <f t="shared" ref="AY52:AY58" si="4">I52</f>
        <v>1</v>
      </c>
      <c r="AZ52" s="196" t="s">
        <v>440</v>
      </c>
    </row>
    <row r="53" spans="1:52" s="205" customFormat="1" ht="15" customHeight="1" x14ac:dyDescent="0.3">
      <c r="A53" s="114">
        <v>42</v>
      </c>
      <c r="B53" s="174" t="s">
        <v>620</v>
      </c>
      <c r="C53" s="186" t="s">
        <v>445</v>
      </c>
      <c r="D53" s="196" t="s">
        <v>288</v>
      </c>
      <c r="E53" s="196" t="s">
        <v>264</v>
      </c>
      <c r="F53" s="196" t="s">
        <v>442</v>
      </c>
      <c r="G53" s="197" t="s">
        <v>145</v>
      </c>
      <c r="H53" s="198" t="s">
        <v>146</v>
      </c>
      <c r="I53" s="199">
        <v>1</v>
      </c>
      <c r="J53" s="200" t="s">
        <v>446</v>
      </c>
      <c r="K53" s="200">
        <v>32</v>
      </c>
      <c r="L53" s="200">
        <v>8.14</v>
      </c>
      <c r="M53" s="200" t="s">
        <v>438</v>
      </c>
      <c r="N53" s="200" t="s">
        <v>218</v>
      </c>
      <c r="O53" s="200" t="s">
        <v>219</v>
      </c>
      <c r="P53" s="200" t="s">
        <v>218</v>
      </c>
      <c r="Q53" s="200" t="s">
        <v>219</v>
      </c>
      <c r="R53" s="200" t="s">
        <v>296</v>
      </c>
      <c r="S53" s="200" t="s">
        <v>219</v>
      </c>
      <c r="T53" s="200" t="s">
        <v>444</v>
      </c>
      <c r="U53" s="207">
        <v>598.57000000000005</v>
      </c>
      <c r="V53" s="207">
        <v>610.82000000000005</v>
      </c>
      <c r="W53" s="196">
        <v>106.85</v>
      </c>
      <c r="X53" s="173" t="s">
        <v>207</v>
      </c>
      <c r="Y53" s="196">
        <v>70</v>
      </c>
      <c r="Z53" s="173" t="s">
        <v>207</v>
      </c>
      <c r="AA53" s="196">
        <v>90.17</v>
      </c>
      <c r="AB53" s="173" t="s">
        <v>207</v>
      </c>
      <c r="AC53" s="196">
        <v>58.2</v>
      </c>
      <c r="AD53" s="173" t="s">
        <v>207</v>
      </c>
      <c r="AE53" s="196">
        <v>15.36</v>
      </c>
      <c r="AF53" s="173" t="s">
        <v>207</v>
      </c>
      <c r="AG53" s="196">
        <v>13.79</v>
      </c>
      <c r="AH53" s="173" t="s">
        <v>207</v>
      </c>
      <c r="AI53" s="196">
        <v>11.22</v>
      </c>
      <c r="AJ53" s="173" t="s">
        <v>207</v>
      </c>
      <c r="AK53" s="196">
        <v>11.25</v>
      </c>
      <c r="AL53" s="173" t="s">
        <v>207</v>
      </c>
      <c r="AM53" s="196">
        <v>14.44</v>
      </c>
      <c r="AN53" s="173" t="s">
        <v>207</v>
      </c>
      <c r="AO53" s="196">
        <v>61.65</v>
      </c>
      <c r="AP53" s="173" t="s">
        <v>207</v>
      </c>
      <c r="AQ53" s="196">
        <v>52.98</v>
      </c>
      <c r="AR53" s="173" t="s">
        <v>207</v>
      </c>
      <c r="AS53" s="196">
        <v>69.23</v>
      </c>
      <c r="AT53" s="173" t="s">
        <v>207</v>
      </c>
      <c r="AU53" s="196">
        <f t="shared" si="1"/>
        <v>575.14</v>
      </c>
      <c r="AV53" s="199">
        <v>0.33</v>
      </c>
      <c r="AW53" s="199" t="str">
        <f t="shared" si="2"/>
        <v>150/70</v>
      </c>
      <c r="AX53" s="196" t="str">
        <f t="shared" si="3"/>
        <v>зависимая</v>
      </c>
      <c r="AY53" s="196">
        <f t="shared" si="4"/>
        <v>1</v>
      </c>
      <c r="AZ53" s="196" t="s">
        <v>440</v>
      </c>
    </row>
    <row r="54" spans="1:52" s="208" customFormat="1" ht="15" customHeight="1" x14ac:dyDescent="0.3">
      <c r="A54" s="114">
        <v>43</v>
      </c>
      <c r="B54" s="174" t="s">
        <v>621</v>
      </c>
      <c r="C54" s="186" t="s">
        <v>445</v>
      </c>
      <c r="D54" s="196" t="s">
        <v>288</v>
      </c>
      <c r="E54" s="196" t="s">
        <v>264</v>
      </c>
      <c r="F54" s="196" t="s">
        <v>442</v>
      </c>
      <c r="G54" s="197" t="s">
        <v>145</v>
      </c>
      <c r="H54" s="198" t="s">
        <v>146</v>
      </c>
      <c r="I54" s="199">
        <v>1</v>
      </c>
      <c r="J54" s="200" t="s">
        <v>446</v>
      </c>
      <c r="K54" s="200">
        <v>32</v>
      </c>
      <c r="L54" s="200">
        <v>8.14</v>
      </c>
      <c r="M54" s="200" t="s">
        <v>438</v>
      </c>
      <c r="N54" s="200" t="s">
        <v>218</v>
      </c>
      <c r="O54" s="200" t="s">
        <v>219</v>
      </c>
      <c r="P54" s="200" t="s">
        <v>218</v>
      </c>
      <c r="Q54" s="200" t="s">
        <v>219</v>
      </c>
      <c r="R54" s="200" t="s">
        <v>296</v>
      </c>
      <c r="S54" s="200" t="s">
        <v>219</v>
      </c>
      <c r="T54" s="200" t="s">
        <v>444</v>
      </c>
      <c r="U54" s="207">
        <v>698.43</v>
      </c>
      <c r="V54" s="207">
        <v>734.02</v>
      </c>
      <c r="W54" s="196">
        <v>118.02</v>
      </c>
      <c r="X54" s="173" t="s">
        <v>207</v>
      </c>
      <c r="Y54" s="196">
        <v>66.55</v>
      </c>
      <c r="Z54" s="173" t="s">
        <v>207</v>
      </c>
      <c r="AA54" s="196">
        <v>115.43</v>
      </c>
      <c r="AB54" s="173" t="s">
        <v>207</v>
      </c>
      <c r="AC54" s="196">
        <v>56.19</v>
      </c>
      <c r="AD54" s="173" t="s">
        <v>207</v>
      </c>
      <c r="AE54" s="196">
        <v>18.7</v>
      </c>
      <c r="AF54" s="173" t="s">
        <v>207</v>
      </c>
      <c r="AG54" s="196">
        <v>10.029999999999999</v>
      </c>
      <c r="AH54" s="173" t="s">
        <v>207</v>
      </c>
      <c r="AI54" s="196">
        <v>8.98</v>
      </c>
      <c r="AJ54" s="173" t="s">
        <v>207</v>
      </c>
      <c r="AK54" s="196">
        <v>9.6999999999999993</v>
      </c>
      <c r="AL54" s="173" t="s">
        <v>207</v>
      </c>
      <c r="AM54" s="196">
        <v>13.7</v>
      </c>
      <c r="AN54" s="173" t="s">
        <v>207</v>
      </c>
      <c r="AO54" s="196">
        <v>61.7</v>
      </c>
      <c r="AP54" s="173" t="s">
        <v>207</v>
      </c>
      <c r="AQ54" s="196">
        <v>47.62</v>
      </c>
      <c r="AR54" s="173" t="s">
        <v>207</v>
      </c>
      <c r="AS54" s="196">
        <v>70.62</v>
      </c>
      <c r="AT54" s="173" t="s">
        <v>207</v>
      </c>
      <c r="AU54" s="196">
        <f t="shared" si="1"/>
        <v>597.2399999999999</v>
      </c>
      <c r="AV54" s="199">
        <v>0.34</v>
      </c>
      <c r="AW54" s="199" t="str">
        <f t="shared" si="2"/>
        <v>150/70</v>
      </c>
      <c r="AX54" s="196" t="str">
        <f t="shared" si="3"/>
        <v>зависимая</v>
      </c>
      <c r="AY54" s="196">
        <f t="shared" si="4"/>
        <v>1</v>
      </c>
      <c r="AZ54" s="196" t="s">
        <v>440</v>
      </c>
    </row>
    <row r="55" spans="1:52" s="208" customFormat="1" ht="15" customHeight="1" x14ac:dyDescent="0.3">
      <c r="A55" s="73">
        <v>44</v>
      </c>
      <c r="B55" s="174" t="s">
        <v>622</v>
      </c>
      <c r="C55" s="186" t="s">
        <v>445</v>
      </c>
      <c r="D55" s="196" t="s">
        <v>288</v>
      </c>
      <c r="E55" s="196" t="s">
        <v>264</v>
      </c>
      <c r="F55" s="196" t="s">
        <v>442</v>
      </c>
      <c r="G55" s="197" t="s">
        <v>145</v>
      </c>
      <c r="H55" s="198" t="s">
        <v>146</v>
      </c>
      <c r="I55" s="199">
        <v>2</v>
      </c>
      <c r="J55" s="200" t="s">
        <v>446</v>
      </c>
      <c r="K55" s="200">
        <v>65</v>
      </c>
      <c r="L55" s="200">
        <v>8.14</v>
      </c>
      <c r="M55" s="200" t="s">
        <v>438</v>
      </c>
      <c r="N55" s="200" t="s">
        <v>218</v>
      </c>
      <c r="O55" s="200" t="s">
        <v>219</v>
      </c>
      <c r="P55" s="200" t="s">
        <v>218</v>
      </c>
      <c r="Q55" s="200" t="s">
        <v>219</v>
      </c>
      <c r="R55" s="200" t="s">
        <v>296</v>
      </c>
      <c r="S55" s="200" t="s">
        <v>219</v>
      </c>
      <c r="T55" s="200" t="s">
        <v>444</v>
      </c>
      <c r="U55" s="207">
        <v>7092.93</v>
      </c>
      <c r="V55" s="207">
        <v>6730.43</v>
      </c>
      <c r="W55" s="196">
        <v>1081.49</v>
      </c>
      <c r="X55" s="173" t="s">
        <v>207</v>
      </c>
      <c r="Y55" s="196">
        <v>862.9</v>
      </c>
      <c r="Z55" s="173" t="s">
        <v>207</v>
      </c>
      <c r="AA55" s="196">
        <v>989.44</v>
      </c>
      <c r="AB55" s="173" t="s">
        <v>207</v>
      </c>
      <c r="AC55" s="196">
        <v>616.4</v>
      </c>
      <c r="AD55" s="173" t="s">
        <v>207</v>
      </c>
      <c r="AE55" s="196">
        <v>272.86</v>
      </c>
      <c r="AF55" s="173" t="s">
        <v>207</v>
      </c>
      <c r="AG55" s="196">
        <v>132.93</v>
      </c>
      <c r="AH55" s="173" t="s">
        <v>207</v>
      </c>
      <c r="AI55" s="196">
        <v>121.35</v>
      </c>
      <c r="AJ55" s="173" t="s">
        <v>207</v>
      </c>
      <c r="AK55" s="196">
        <v>127.56</v>
      </c>
      <c r="AL55" s="173" t="s">
        <v>207</v>
      </c>
      <c r="AM55" s="196">
        <v>155.47999999999999</v>
      </c>
      <c r="AN55" s="173" t="s">
        <v>207</v>
      </c>
      <c r="AO55" s="196">
        <v>667.24</v>
      </c>
      <c r="AP55" s="173" t="s">
        <v>207</v>
      </c>
      <c r="AQ55" s="196">
        <v>612.46</v>
      </c>
      <c r="AR55" s="173" t="s">
        <v>207</v>
      </c>
      <c r="AS55" s="196">
        <v>839.3</v>
      </c>
      <c r="AT55" s="173" t="s">
        <v>207</v>
      </c>
      <c r="AU55" s="196">
        <f t="shared" si="1"/>
        <v>6479.41</v>
      </c>
      <c r="AV55" s="199">
        <v>3.39</v>
      </c>
      <c r="AW55" s="199" t="str">
        <f t="shared" si="2"/>
        <v>150/70</v>
      </c>
      <c r="AX55" s="196" t="str">
        <f t="shared" si="3"/>
        <v>зависимая</v>
      </c>
      <c r="AY55" s="196">
        <f t="shared" si="4"/>
        <v>2</v>
      </c>
      <c r="AZ55" s="196" t="s">
        <v>440</v>
      </c>
    </row>
    <row r="56" spans="1:52" s="208" customFormat="1" ht="15" customHeight="1" x14ac:dyDescent="0.3">
      <c r="A56" s="114">
        <v>45</v>
      </c>
      <c r="B56" s="174" t="s">
        <v>623</v>
      </c>
      <c r="C56" s="186" t="s">
        <v>445</v>
      </c>
      <c r="D56" s="196" t="s">
        <v>288</v>
      </c>
      <c r="E56" s="196" t="s">
        <v>264</v>
      </c>
      <c r="F56" s="196" t="s">
        <v>442</v>
      </c>
      <c r="G56" s="197" t="s">
        <v>145</v>
      </c>
      <c r="H56" s="198" t="s">
        <v>146</v>
      </c>
      <c r="I56" s="199">
        <v>2</v>
      </c>
      <c r="J56" s="200" t="s">
        <v>446</v>
      </c>
      <c r="K56" s="200">
        <v>50</v>
      </c>
      <c r="L56" s="200">
        <v>8.14</v>
      </c>
      <c r="M56" s="200" t="s">
        <v>438</v>
      </c>
      <c r="N56" s="200" t="s">
        <v>218</v>
      </c>
      <c r="O56" s="200" t="s">
        <v>219</v>
      </c>
      <c r="P56" s="200" t="s">
        <v>218</v>
      </c>
      <c r="Q56" s="200" t="s">
        <v>219</v>
      </c>
      <c r="R56" s="200" t="s">
        <v>296</v>
      </c>
      <c r="S56" s="200" t="s">
        <v>219</v>
      </c>
      <c r="T56" s="200" t="s">
        <v>444</v>
      </c>
      <c r="U56" s="207">
        <v>3399.73</v>
      </c>
      <c r="V56" s="207">
        <v>3131.24</v>
      </c>
      <c r="W56" s="196">
        <v>532.35</v>
      </c>
      <c r="X56" s="173" t="s">
        <v>207</v>
      </c>
      <c r="Y56" s="196">
        <v>372.15</v>
      </c>
      <c r="Z56" s="173" t="s">
        <v>207</v>
      </c>
      <c r="AA56" s="196">
        <v>520.24</v>
      </c>
      <c r="AB56" s="173" t="s">
        <v>207</v>
      </c>
      <c r="AC56" s="196">
        <v>301.7</v>
      </c>
      <c r="AD56" s="173" t="s">
        <v>207</v>
      </c>
      <c r="AE56" s="196">
        <v>139.30000000000001</v>
      </c>
      <c r="AF56" s="173" t="s">
        <v>207</v>
      </c>
      <c r="AG56" s="196">
        <v>68.98</v>
      </c>
      <c r="AH56" s="173" t="s">
        <v>207</v>
      </c>
      <c r="AI56" s="196">
        <v>60.86</v>
      </c>
      <c r="AJ56" s="173" t="s">
        <v>207</v>
      </c>
      <c r="AK56" s="196">
        <v>58.99</v>
      </c>
      <c r="AL56" s="173" t="s">
        <v>207</v>
      </c>
      <c r="AM56" s="196">
        <v>79.06</v>
      </c>
      <c r="AN56" s="173" t="s">
        <v>207</v>
      </c>
      <c r="AO56" s="196">
        <v>343.02</v>
      </c>
      <c r="AP56" s="173" t="s">
        <v>207</v>
      </c>
      <c r="AQ56" s="196">
        <v>331.08</v>
      </c>
      <c r="AR56" s="173" t="s">
        <v>207</v>
      </c>
      <c r="AS56" s="196">
        <v>454.2</v>
      </c>
      <c r="AT56" s="173" t="s">
        <v>207</v>
      </c>
      <c r="AU56" s="196">
        <f t="shared" si="1"/>
        <v>3261.9299999999994</v>
      </c>
      <c r="AV56" s="199">
        <v>1.49</v>
      </c>
      <c r="AW56" s="199" t="str">
        <f t="shared" si="2"/>
        <v>150/70</v>
      </c>
      <c r="AX56" s="196" t="str">
        <f t="shared" si="3"/>
        <v>зависимая</v>
      </c>
      <c r="AY56" s="196">
        <f t="shared" si="4"/>
        <v>2</v>
      </c>
      <c r="AZ56" s="196" t="s">
        <v>440</v>
      </c>
    </row>
    <row r="57" spans="1:52" s="208" customFormat="1" ht="15" customHeight="1" x14ac:dyDescent="0.3">
      <c r="A57" s="114">
        <v>46</v>
      </c>
      <c r="B57" s="174" t="s">
        <v>624</v>
      </c>
      <c r="C57" s="186" t="s">
        <v>445</v>
      </c>
      <c r="D57" s="196" t="s">
        <v>288</v>
      </c>
      <c r="E57" s="196" t="s">
        <v>264</v>
      </c>
      <c r="F57" s="196" t="s">
        <v>442</v>
      </c>
      <c r="G57" s="197" t="s">
        <v>145</v>
      </c>
      <c r="H57" s="198" t="s">
        <v>146</v>
      </c>
      <c r="I57" s="199">
        <v>1</v>
      </c>
      <c r="J57" s="200" t="s">
        <v>446</v>
      </c>
      <c r="K57" s="200">
        <v>50</v>
      </c>
      <c r="L57" s="200">
        <v>8.14</v>
      </c>
      <c r="M57" s="200" t="s">
        <v>438</v>
      </c>
      <c r="N57" s="200" t="s">
        <v>218</v>
      </c>
      <c r="O57" s="200" t="s">
        <v>219</v>
      </c>
      <c r="P57" s="200" t="s">
        <v>218</v>
      </c>
      <c r="Q57" s="200" t="s">
        <v>219</v>
      </c>
      <c r="R57" s="200" t="s">
        <v>296</v>
      </c>
      <c r="S57" s="200" t="s">
        <v>219</v>
      </c>
      <c r="T57" s="200" t="s">
        <v>444</v>
      </c>
      <c r="U57" s="207">
        <v>1960.09</v>
      </c>
      <c r="V57" s="207">
        <v>2051.09</v>
      </c>
      <c r="W57" s="199">
        <v>143.44</v>
      </c>
      <c r="X57" s="204" t="s">
        <v>207</v>
      </c>
      <c r="Y57" s="199">
        <v>238.6</v>
      </c>
      <c r="Z57" s="173" t="s">
        <v>207</v>
      </c>
      <c r="AA57" s="196">
        <v>333.92</v>
      </c>
      <c r="AB57" s="173" t="s">
        <v>207</v>
      </c>
      <c r="AC57" s="196">
        <v>226.26</v>
      </c>
      <c r="AD57" s="173" t="s">
        <v>207</v>
      </c>
      <c r="AE57" s="196">
        <v>86.48</v>
      </c>
      <c r="AF57" s="173" t="s">
        <v>207</v>
      </c>
      <c r="AG57" s="196">
        <v>52.85</v>
      </c>
      <c r="AH57" s="173" t="s">
        <v>207</v>
      </c>
      <c r="AI57" s="196">
        <v>38.46</v>
      </c>
      <c r="AJ57" s="173" t="s">
        <v>207</v>
      </c>
      <c r="AK57" s="196">
        <v>40.28</v>
      </c>
      <c r="AL57" s="173" t="s">
        <v>207</v>
      </c>
      <c r="AM57" s="196">
        <v>48.86</v>
      </c>
      <c r="AN57" s="173" t="s">
        <v>207</v>
      </c>
      <c r="AO57" s="196">
        <v>263.02</v>
      </c>
      <c r="AP57" s="173" t="s">
        <v>207</v>
      </c>
      <c r="AQ57" s="196">
        <v>253.76</v>
      </c>
      <c r="AR57" s="173" t="s">
        <v>207</v>
      </c>
      <c r="AS57" s="196">
        <v>319.45</v>
      </c>
      <c r="AT57" s="173" t="s">
        <v>207</v>
      </c>
      <c r="AU57" s="196">
        <f t="shared" si="1"/>
        <v>2045.3799999999999</v>
      </c>
      <c r="AV57" s="199">
        <v>0.89</v>
      </c>
      <c r="AW57" s="199" t="str">
        <f t="shared" si="2"/>
        <v>150/70</v>
      </c>
      <c r="AX57" s="196" t="str">
        <f t="shared" si="3"/>
        <v>зависимая</v>
      </c>
      <c r="AY57" s="196">
        <f t="shared" si="4"/>
        <v>1</v>
      </c>
      <c r="AZ57" s="196" t="s">
        <v>440</v>
      </c>
    </row>
    <row r="58" spans="1:52" s="208" customFormat="1" ht="15" customHeight="1" x14ac:dyDescent="0.3">
      <c r="A58" s="114">
        <v>47</v>
      </c>
      <c r="B58" s="174" t="s">
        <v>625</v>
      </c>
      <c r="C58" s="186" t="s">
        <v>445</v>
      </c>
      <c r="D58" s="196" t="s">
        <v>288</v>
      </c>
      <c r="E58" s="196" t="s">
        <v>264</v>
      </c>
      <c r="F58" s="196" t="s">
        <v>442</v>
      </c>
      <c r="G58" s="197" t="s">
        <v>145</v>
      </c>
      <c r="H58" s="198" t="s">
        <v>146</v>
      </c>
      <c r="I58" s="199">
        <v>1</v>
      </c>
      <c r="J58" s="200" t="s">
        <v>446</v>
      </c>
      <c r="K58" s="200">
        <v>40</v>
      </c>
      <c r="L58" s="200">
        <v>8.14</v>
      </c>
      <c r="M58" s="200" t="s">
        <v>438</v>
      </c>
      <c r="N58" s="200" t="s">
        <v>218</v>
      </c>
      <c r="O58" s="200" t="s">
        <v>219</v>
      </c>
      <c r="P58" s="200" t="s">
        <v>218</v>
      </c>
      <c r="Q58" s="200" t="s">
        <v>219</v>
      </c>
      <c r="R58" s="200" t="s">
        <v>296</v>
      </c>
      <c r="S58" s="200" t="s">
        <v>219</v>
      </c>
      <c r="T58" s="200" t="s">
        <v>444</v>
      </c>
      <c r="U58" s="207">
        <v>2256.27</v>
      </c>
      <c r="V58" s="207">
        <v>2282.09</v>
      </c>
      <c r="W58" s="196">
        <v>327.17</v>
      </c>
      <c r="X58" s="173" t="s">
        <v>207</v>
      </c>
      <c r="Y58" s="196">
        <v>226.84</v>
      </c>
      <c r="Z58" s="173" t="s">
        <v>207</v>
      </c>
      <c r="AA58" s="196">
        <v>295.79000000000002</v>
      </c>
      <c r="AB58" s="173" t="s">
        <v>207</v>
      </c>
      <c r="AC58" s="196">
        <v>184.37</v>
      </c>
      <c r="AD58" s="173" t="s">
        <v>207</v>
      </c>
      <c r="AE58" s="196">
        <v>101.24</v>
      </c>
      <c r="AF58" s="173" t="s">
        <v>207</v>
      </c>
      <c r="AG58" s="196">
        <v>52.59</v>
      </c>
      <c r="AH58" s="173" t="s">
        <v>207</v>
      </c>
      <c r="AI58" s="196">
        <v>53.22</v>
      </c>
      <c r="AJ58" s="173" t="s">
        <v>207</v>
      </c>
      <c r="AK58" s="196">
        <v>56.71</v>
      </c>
      <c r="AL58" s="173" t="s">
        <v>207</v>
      </c>
      <c r="AM58" s="196">
        <v>69.33</v>
      </c>
      <c r="AN58" s="173" t="s">
        <v>207</v>
      </c>
      <c r="AO58" s="196">
        <v>223.65</v>
      </c>
      <c r="AP58" s="173" t="s">
        <v>207</v>
      </c>
      <c r="AQ58" s="196">
        <v>192.11</v>
      </c>
      <c r="AR58" s="173" t="s">
        <v>207</v>
      </c>
      <c r="AS58" s="196">
        <v>257.2</v>
      </c>
      <c r="AT58" s="173" t="s">
        <v>207</v>
      </c>
      <c r="AU58" s="196">
        <f t="shared" si="1"/>
        <v>2040.22</v>
      </c>
      <c r="AV58" s="199">
        <v>0.92</v>
      </c>
      <c r="AW58" s="199" t="str">
        <f t="shared" si="2"/>
        <v>150/70</v>
      </c>
      <c r="AX58" s="196" t="str">
        <f t="shared" si="3"/>
        <v>зависимая</v>
      </c>
      <c r="AY58" s="196">
        <f t="shared" si="4"/>
        <v>1</v>
      </c>
      <c r="AZ58" s="196" t="s">
        <v>440</v>
      </c>
    </row>
    <row r="59" spans="1:52" s="208" customFormat="1" ht="15" customHeight="1" x14ac:dyDescent="0.3">
      <c r="A59" s="73">
        <v>48</v>
      </c>
      <c r="B59" s="174" t="s">
        <v>626</v>
      </c>
      <c r="C59" s="173" t="s">
        <v>435</v>
      </c>
      <c r="D59" s="196" t="s">
        <v>288</v>
      </c>
      <c r="E59" s="196" t="s">
        <v>205</v>
      </c>
      <c r="F59" s="173" t="s">
        <v>447</v>
      </c>
      <c r="G59" s="197" t="s">
        <v>145</v>
      </c>
      <c r="H59" s="198" t="s">
        <v>146</v>
      </c>
      <c r="I59" s="199">
        <v>1</v>
      </c>
      <c r="J59" s="200" t="s">
        <v>437</v>
      </c>
      <c r="K59" s="201">
        <v>32</v>
      </c>
      <c r="L59" s="202"/>
      <c r="M59" s="200" t="s">
        <v>438</v>
      </c>
      <c r="N59" s="200" t="s">
        <v>218</v>
      </c>
      <c r="O59" s="200" t="s">
        <v>219</v>
      </c>
      <c r="P59" s="200" t="s">
        <v>218</v>
      </c>
      <c r="Q59" s="200" t="s">
        <v>219</v>
      </c>
      <c r="R59" s="200" t="s">
        <v>208</v>
      </c>
      <c r="S59" s="200" t="s">
        <v>219</v>
      </c>
      <c r="T59" s="173" t="s">
        <v>448</v>
      </c>
      <c r="U59" s="199"/>
      <c r="V59" s="199">
        <v>237.76</v>
      </c>
      <c r="W59" s="209">
        <v>54.67</v>
      </c>
      <c r="X59" s="199" t="s">
        <v>449</v>
      </c>
      <c r="Y59" s="209">
        <v>51.37</v>
      </c>
      <c r="Z59" s="199" t="s">
        <v>449</v>
      </c>
      <c r="AA59" s="199">
        <v>51.52</v>
      </c>
      <c r="AB59" s="199" t="s">
        <v>449</v>
      </c>
      <c r="AC59" s="199">
        <v>48.01</v>
      </c>
      <c r="AD59" s="199" t="s">
        <v>449</v>
      </c>
      <c r="AE59" s="199">
        <v>51.48</v>
      </c>
      <c r="AF59" s="199" t="s">
        <v>449</v>
      </c>
      <c r="AG59" s="199">
        <v>11.83</v>
      </c>
      <c r="AH59" s="199" t="s">
        <v>449</v>
      </c>
      <c r="AI59" s="196">
        <v>11.44</v>
      </c>
      <c r="AJ59" s="196" t="s">
        <v>207</v>
      </c>
      <c r="AK59" s="196">
        <v>7.56</v>
      </c>
      <c r="AL59" s="196" t="s">
        <v>207</v>
      </c>
      <c r="AM59" s="196">
        <v>9.3800000000000008</v>
      </c>
      <c r="AN59" s="196" t="s">
        <v>207</v>
      </c>
      <c r="AO59" s="196">
        <v>50.84</v>
      </c>
      <c r="AP59" s="196" t="s">
        <v>207</v>
      </c>
      <c r="AQ59" s="196">
        <v>62</v>
      </c>
      <c r="AR59" s="196" t="s">
        <v>207</v>
      </c>
      <c r="AS59" s="196">
        <v>80.099999999999994</v>
      </c>
      <c r="AT59" s="196" t="s">
        <v>207</v>
      </c>
      <c r="AU59" s="196">
        <f t="shared" si="1"/>
        <v>490.20000000000005</v>
      </c>
      <c r="AV59" s="199">
        <v>0.33</v>
      </c>
      <c r="AW59" s="196" t="s">
        <v>438</v>
      </c>
      <c r="AX59" s="173" t="s">
        <v>296</v>
      </c>
      <c r="AY59" s="196">
        <v>1</v>
      </c>
      <c r="AZ59" s="196" t="s">
        <v>440</v>
      </c>
    </row>
    <row r="60" spans="1:52" s="208" customFormat="1" ht="15" customHeight="1" x14ac:dyDescent="0.3">
      <c r="A60" s="114">
        <v>49</v>
      </c>
      <c r="B60" s="174" t="s">
        <v>627</v>
      </c>
      <c r="C60" s="186" t="s">
        <v>445</v>
      </c>
      <c r="D60" s="196" t="s">
        <v>288</v>
      </c>
      <c r="E60" s="196" t="s">
        <v>264</v>
      </c>
      <c r="F60" s="196" t="s">
        <v>442</v>
      </c>
      <c r="G60" s="197" t="s">
        <v>145</v>
      </c>
      <c r="H60" s="198" t="s">
        <v>146</v>
      </c>
      <c r="I60" s="199">
        <v>4</v>
      </c>
      <c r="J60" s="200" t="s">
        <v>446</v>
      </c>
      <c r="K60" s="200">
        <v>40</v>
      </c>
      <c r="L60" s="200">
        <v>9.11</v>
      </c>
      <c r="M60" s="200" t="s">
        <v>438</v>
      </c>
      <c r="N60" s="200" t="s">
        <v>218</v>
      </c>
      <c r="O60" s="200" t="s">
        <v>219</v>
      </c>
      <c r="P60" s="200" t="s">
        <v>218</v>
      </c>
      <c r="Q60" s="200" t="s">
        <v>219</v>
      </c>
      <c r="R60" s="200" t="s">
        <v>296</v>
      </c>
      <c r="S60" s="200" t="s">
        <v>219</v>
      </c>
      <c r="T60" s="200" t="s">
        <v>444</v>
      </c>
      <c r="U60" s="207">
        <v>5574.56</v>
      </c>
      <c r="V60" s="207">
        <v>5220.3</v>
      </c>
      <c r="W60" s="196">
        <v>827.6</v>
      </c>
      <c r="X60" s="173" t="s">
        <v>207</v>
      </c>
      <c r="Y60" s="196">
        <v>621.28</v>
      </c>
      <c r="Z60" s="173" t="s">
        <v>207</v>
      </c>
      <c r="AA60" s="196">
        <v>807.27</v>
      </c>
      <c r="AB60" s="173" t="s">
        <v>207</v>
      </c>
      <c r="AC60" s="196">
        <v>488.1</v>
      </c>
      <c r="AD60" s="173" t="s">
        <v>207</v>
      </c>
      <c r="AE60" s="196">
        <v>194.44</v>
      </c>
      <c r="AF60" s="173" t="s">
        <v>207</v>
      </c>
      <c r="AG60" s="196">
        <v>101</v>
      </c>
      <c r="AH60" s="173" t="s">
        <v>207</v>
      </c>
      <c r="AI60" s="196">
        <v>98.45</v>
      </c>
      <c r="AJ60" s="173" t="s">
        <v>207</v>
      </c>
      <c r="AK60" s="196">
        <v>91.43</v>
      </c>
      <c r="AL60" s="173" t="s">
        <v>207</v>
      </c>
      <c r="AM60" s="196">
        <v>122.63</v>
      </c>
      <c r="AN60" s="173" t="s">
        <v>207</v>
      </c>
      <c r="AO60" s="196">
        <v>547.38</v>
      </c>
      <c r="AP60" s="173" t="s">
        <v>207</v>
      </c>
      <c r="AQ60" s="196">
        <v>445.33</v>
      </c>
      <c r="AR60" s="173" t="s">
        <v>207</v>
      </c>
      <c r="AS60" s="196">
        <v>602.79999999999995</v>
      </c>
      <c r="AT60" s="173" t="s">
        <v>207</v>
      </c>
      <c r="AU60" s="196">
        <f t="shared" si="1"/>
        <v>4947.71</v>
      </c>
      <c r="AV60" s="199">
        <v>2.8</v>
      </c>
      <c r="AW60" s="196" t="s">
        <v>438</v>
      </c>
      <c r="AX60" s="196" t="str">
        <f>R60</f>
        <v>зависимая</v>
      </c>
      <c r="AY60" s="196">
        <f>I60</f>
        <v>4</v>
      </c>
      <c r="AZ60" s="196" t="s">
        <v>440</v>
      </c>
    </row>
    <row r="61" spans="1:52" s="208" customFormat="1" ht="15" customHeight="1" x14ac:dyDescent="0.3">
      <c r="A61" s="114">
        <v>50</v>
      </c>
      <c r="B61" s="174" t="s">
        <v>628</v>
      </c>
      <c r="C61" s="186" t="s">
        <v>445</v>
      </c>
      <c r="D61" s="196" t="s">
        <v>204</v>
      </c>
      <c r="E61" s="196" t="s">
        <v>250</v>
      </c>
      <c r="F61" s="196" t="s">
        <v>442</v>
      </c>
      <c r="G61" s="197" t="s">
        <v>145</v>
      </c>
      <c r="H61" s="198" t="s">
        <v>146</v>
      </c>
      <c r="I61" s="199">
        <v>2</v>
      </c>
      <c r="J61" s="198" t="s">
        <v>450</v>
      </c>
      <c r="K61" s="200">
        <v>100</v>
      </c>
      <c r="L61" s="200">
        <v>9.11</v>
      </c>
      <c r="M61" s="200" t="s">
        <v>438</v>
      </c>
      <c r="N61" s="200" t="s">
        <v>218</v>
      </c>
      <c r="O61" s="200" t="s">
        <v>219</v>
      </c>
      <c r="P61" s="200" t="s">
        <v>218</v>
      </c>
      <c r="Q61" s="200" t="s">
        <v>219</v>
      </c>
      <c r="R61" s="200" t="s">
        <v>296</v>
      </c>
      <c r="S61" s="200" t="s">
        <v>219</v>
      </c>
      <c r="T61" s="200" t="s">
        <v>444</v>
      </c>
      <c r="U61" s="207">
        <v>4525.9399999999996</v>
      </c>
      <c r="V61" s="207">
        <v>4364.8599999999997</v>
      </c>
      <c r="W61" s="196">
        <v>722.61</v>
      </c>
      <c r="X61" s="173" t="s">
        <v>207</v>
      </c>
      <c r="Y61" s="196">
        <v>523.62</v>
      </c>
      <c r="Z61" s="173" t="s">
        <v>207</v>
      </c>
      <c r="AA61" s="196">
        <v>664.74</v>
      </c>
      <c r="AB61" s="173" t="s">
        <v>207</v>
      </c>
      <c r="AC61" s="196">
        <v>416.73</v>
      </c>
      <c r="AD61" s="173" t="s">
        <v>207</v>
      </c>
      <c r="AE61" s="196">
        <v>171.75</v>
      </c>
      <c r="AF61" s="173" t="s">
        <v>207</v>
      </c>
      <c r="AG61" s="196">
        <v>103.76</v>
      </c>
      <c r="AH61" s="173" t="s">
        <v>207</v>
      </c>
      <c r="AI61" s="196">
        <v>101.16</v>
      </c>
      <c r="AJ61" s="173" t="s">
        <v>207</v>
      </c>
      <c r="AK61" s="196">
        <v>93.1</v>
      </c>
      <c r="AL61" s="173" t="s">
        <v>207</v>
      </c>
      <c r="AM61" s="196">
        <v>121.96</v>
      </c>
      <c r="AN61" s="173" t="s">
        <v>207</v>
      </c>
      <c r="AO61" s="196">
        <v>483.88</v>
      </c>
      <c r="AP61" s="173" t="s">
        <v>207</v>
      </c>
      <c r="AQ61" s="196">
        <v>418.06</v>
      </c>
      <c r="AR61" s="173" t="s">
        <v>207</v>
      </c>
      <c r="AS61" s="196">
        <v>535.64</v>
      </c>
      <c r="AT61" s="173" t="s">
        <v>207</v>
      </c>
      <c r="AU61" s="196">
        <f t="shared" si="1"/>
        <v>4357.01</v>
      </c>
      <c r="AV61" s="199">
        <v>2.3199999999999998</v>
      </c>
      <c r="AW61" s="196" t="s">
        <v>438</v>
      </c>
      <c r="AX61" s="196" t="str">
        <f>R61</f>
        <v>зависимая</v>
      </c>
      <c r="AY61" s="196">
        <v>1</v>
      </c>
      <c r="AZ61" s="196" t="s">
        <v>440</v>
      </c>
    </row>
    <row r="62" spans="1:52" s="208" customFormat="1" ht="15" customHeight="1" x14ac:dyDescent="0.3">
      <c r="A62" s="114">
        <v>51</v>
      </c>
      <c r="B62" s="174" t="s">
        <v>629</v>
      </c>
      <c r="C62" s="186" t="s">
        <v>445</v>
      </c>
      <c r="D62" s="196" t="s">
        <v>288</v>
      </c>
      <c r="E62" s="196" t="s">
        <v>264</v>
      </c>
      <c r="F62" s="196" t="s">
        <v>442</v>
      </c>
      <c r="G62" s="197" t="s">
        <v>145</v>
      </c>
      <c r="H62" s="198" t="s">
        <v>146</v>
      </c>
      <c r="I62" s="199">
        <v>3</v>
      </c>
      <c r="J62" s="200" t="s">
        <v>446</v>
      </c>
      <c r="K62" s="200">
        <v>40</v>
      </c>
      <c r="L62" s="200">
        <v>9.11</v>
      </c>
      <c r="M62" s="200" t="s">
        <v>438</v>
      </c>
      <c r="N62" s="200" t="s">
        <v>218</v>
      </c>
      <c r="O62" s="200" t="s">
        <v>219</v>
      </c>
      <c r="P62" s="200" t="s">
        <v>218</v>
      </c>
      <c r="Q62" s="200" t="s">
        <v>219</v>
      </c>
      <c r="R62" s="200" t="s">
        <v>296</v>
      </c>
      <c r="S62" s="200" t="s">
        <v>219</v>
      </c>
      <c r="T62" s="200" t="s">
        <v>444</v>
      </c>
      <c r="U62" s="207">
        <v>1000.34</v>
      </c>
      <c r="V62" s="207">
        <v>4462.33</v>
      </c>
      <c r="W62" s="196">
        <v>689.51</v>
      </c>
      <c r="X62" s="173" t="s">
        <v>207</v>
      </c>
      <c r="Y62" s="196">
        <v>497.1</v>
      </c>
      <c r="Z62" s="173" t="s">
        <v>207</v>
      </c>
      <c r="AA62" s="196">
        <v>663.58</v>
      </c>
      <c r="AB62" s="173" t="s">
        <v>207</v>
      </c>
      <c r="AC62" s="196">
        <v>422.5</v>
      </c>
      <c r="AD62" s="173" t="s">
        <v>207</v>
      </c>
      <c r="AE62" s="196">
        <v>188.85</v>
      </c>
      <c r="AF62" s="173" t="s">
        <v>207</v>
      </c>
      <c r="AG62" s="196">
        <v>115.17</v>
      </c>
      <c r="AH62" s="173" t="s">
        <v>207</v>
      </c>
      <c r="AI62" s="196">
        <v>106.79</v>
      </c>
      <c r="AJ62" s="173" t="s">
        <v>207</v>
      </c>
      <c r="AK62" s="196">
        <v>111.52</v>
      </c>
      <c r="AL62" s="173" t="s">
        <v>207</v>
      </c>
      <c r="AM62" s="196">
        <v>134.66999999999999</v>
      </c>
      <c r="AN62" s="173" t="s">
        <v>207</v>
      </c>
      <c r="AO62" s="196">
        <v>452.77</v>
      </c>
      <c r="AP62" s="173" t="s">
        <v>207</v>
      </c>
      <c r="AQ62" s="196">
        <v>393.25</v>
      </c>
      <c r="AR62" s="173" t="s">
        <v>207</v>
      </c>
      <c r="AS62" s="196">
        <v>516.95000000000005</v>
      </c>
      <c r="AT62" s="173" t="s">
        <v>207</v>
      </c>
      <c r="AU62" s="196">
        <f t="shared" si="1"/>
        <v>4292.66</v>
      </c>
      <c r="AV62" s="199">
        <v>2.33</v>
      </c>
      <c r="AW62" s="196" t="s">
        <v>438</v>
      </c>
      <c r="AX62" s="196" t="str">
        <f>R62</f>
        <v>зависимая</v>
      </c>
      <c r="AY62" s="196">
        <f>I62</f>
        <v>3</v>
      </c>
      <c r="AZ62" s="196" t="s">
        <v>440</v>
      </c>
    </row>
    <row r="63" spans="1:52" s="208" customFormat="1" ht="15" customHeight="1" x14ac:dyDescent="0.3">
      <c r="A63" s="73">
        <v>52</v>
      </c>
      <c r="B63" s="174" t="s">
        <v>630</v>
      </c>
      <c r="C63" s="173" t="s">
        <v>435</v>
      </c>
      <c r="D63" s="196" t="s">
        <v>288</v>
      </c>
      <c r="E63" s="203" t="s">
        <v>289</v>
      </c>
      <c r="F63" s="173" t="s">
        <v>447</v>
      </c>
      <c r="G63" s="197" t="s">
        <v>145</v>
      </c>
      <c r="H63" s="198" t="s">
        <v>146</v>
      </c>
      <c r="I63" s="199">
        <v>3</v>
      </c>
      <c r="J63" s="201" t="s">
        <v>451</v>
      </c>
      <c r="K63" s="201">
        <v>40</v>
      </c>
      <c r="L63" s="202">
        <v>8.77</v>
      </c>
      <c r="M63" s="200" t="s">
        <v>452</v>
      </c>
      <c r="N63" s="200" t="s">
        <v>218</v>
      </c>
      <c r="O63" s="200" t="s">
        <v>219</v>
      </c>
      <c r="P63" s="200" t="s">
        <v>218</v>
      </c>
      <c r="Q63" s="200" t="s">
        <v>219</v>
      </c>
      <c r="R63" s="200" t="s">
        <v>208</v>
      </c>
      <c r="S63" s="200" t="s">
        <v>219</v>
      </c>
      <c r="T63" s="200"/>
      <c r="U63" s="199">
        <v>5316.02</v>
      </c>
      <c r="V63" s="199">
        <v>5428.07</v>
      </c>
      <c r="W63" s="196">
        <v>880.52</v>
      </c>
      <c r="X63" s="196" t="s">
        <v>207</v>
      </c>
      <c r="Y63" s="196">
        <v>703.7</v>
      </c>
      <c r="Z63" s="196" t="s">
        <v>207</v>
      </c>
      <c r="AA63" s="196">
        <v>855.42</v>
      </c>
      <c r="AB63" s="196" t="s">
        <v>207</v>
      </c>
      <c r="AC63" s="196">
        <v>514.77</v>
      </c>
      <c r="AD63" s="196" t="s">
        <v>207</v>
      </c>
      <c r="AE63" s="196">
        <v>171.11</v>
      </c>
      <c r="AF63" s="196" t="s">
        <v>207</v>
      </c>
      <c r="AG63" s="196">
        <v>112.53</v>
      </c>
      <c r="AH63" s="196" t="s">
        <v>207</v>
      </c>
      <c r="AI63" s="196">
        <v>95.6</v>
      </c>
      <c r="AJ63" s="196" t="s">
        <v>207</v>
      </c>
      <c r="AK63" s="196">
        <v>109.46</v>
      </c>
      <c r="AL63" s="196" t="s">
        <v>207</v>
      </c>
      <c r="AM63" s="196">
        <v>130.62</v>
      </c>
      <c r="AN63" s="196" t="s">
        <v>207</v>
      </c>
      <c r="AO63" s="196">
        <v>570.29999999999995</v>
      </c>
      <c r="AP63" s="196" t="s">
        <v>207</v>
      </c>
      <c r="AQ63" s="196">
        <v>472.64</v>
      </c>
      <c r="AR63" s="196" t="s">
        <v>207</v>
      </c>
      <c r="AS63" s="196">
        <v>655</v>
      </c>
      <c r="AT63" s="196" t="s">
        <v>207</v>
      </c>
      <c r="AU63" s="196">
        <f t="shared" si="1"/>
        <v>5271.67</v>
      </c>
      <c r="AV63" s="199">
        <v>2.71</v>
      </c>
      <c r="AW63" s="196" t="s">
        <v>452</v>
      </c>
      <c r="AX63" s="173" t="s">
        <v>296</v>
      </c>
      <c r="AY63" s="196">
        <v>2</v>
      </c>
      <c r="AZ63" s="196" t="s">
        <v>440</v>
      </c>
    </row>
    <row r="64" spans="1:52" s="208" customFormat="1" ht="15" customHeight="1" x14ac:dyDescent="0.3">
      <c r="A64" s="114">
        <v>53</v>
      </c>
      <c r="B64" s="174" t="s">
        <v>631</v>
      </c>
      <c r="C64" s="140" t="s">
        <v>445</v>
      </c>
      <c r="D64" s="199" t="s">
        <v>204</v>
      </c>
      <c r="E64" s="199" t="s">
        <v>264</v>
      </c>
      <c r="F64" s="199" t="s">
        <v>453</v>
      </c>
      <c r="G64" s="197" t="s">
        <v>145</v>
      </c>
      <c r="H64" s="198" t="s">
        <v>146</v>
      </c>
      <c r="I64" s="199">
        <v>3</v>
      </c>
      <c r="J64" s="198" t="s">
        <v>446</v>
      </c>
      <c r="K64" s="198">
        <v>50</v>
      </c>
      <c r="L64" s="198">
        <v>5.6</v>
      </c>
      <c r="M64" s="198" t="s">
        <v>438</v>
      </c>
      <c r="N64" s="198" t="s">
        <v>218</v>
      </c>
      <c r="O64" s="198" t="s">
        <v>219</v>
      </c>
      <c r="P64" s="198" t="s">
        <v>218</v>
      </c>
      <c r="Q64" s="210" t="s">
        <v>219</v>
      </c>
      <c r="R64" s="198" t="s">
        <v>296</v>
      </c>
      <c r="S64" s="198" t="s">
        <v>219</v>
      </c>
      <c r="T64" s="211" t="s">
        <v>454</v>
      </c>
      <c r="U64" s="199">
        <v>2319.38</v>
      </c>
      <c r="V64" s="199">
        <f>5475.77-60.08</f>
        <v>5415.6900000000005</v>
      </c>
      <c r="W64" s="199">
        <v>596.88837450000005</v>
      </c>
      <c r="X64" s="204" t="s">
        <v>207</v>
      </c>
      <c r="Y64" s="199">
        <v>577.09841700000004</v>
      </c>
      <c r="Z64" s="204" t="s">
        <v>207</v>
      </c>
      <c r="AA64" s="199">
        <v>593.63838299999998</v>
      </c>
      <c r="AB64" s="204" t="s">
        <v>207</v>
      </c>
      <c r="AC64" s="199">
        <v>261.6609957</v>
      </c>
      <c r="AD64" s="204" t="s">
        <v>207</v>
      </c>
      <c r="AE64" s="199">
        <v>533.22855319999996</v>
      </c>
      <c r="AF64" s="204" t="s">
        <v>207</v>
      </c>
      <c r="AG64" s="199">
        <v>119.2396766</v>
      </c>
      <c r="AH64" s="204" t="s">
        <v>207</v>
      </c>
      <c r="AI64" s="199">
        <v>133.9303386</v>
      </c>
      <c r="AJ64" s="204" t="s">
        <v>207</v>
      </c>
      <c r="AK64" s="199">
        <v>117.3503053</v>
      </c>
      <c r="AL64" s="204" t="s">
        <v>207</v>
      </c>
      <c r="AM64" s="199">
        <v>122.7102979</v>
      </c>
      <c r="AN64" s="204" t="s">
        <v>207</v>
      </c>
      <c r="AO64" s="199">
        <v>493.88124329999999</v>
      </c>
      <c r="AP64" s="204" t="s">
        <v>207</v>
      </c>
      <c r="AQ64" s="199">
        <v>483.76492880000001</v>
      </c>
      <c r="AR64" s="204" t="s">
        <v>207</v>
      </c>
      <c r="AS64" s="199">
        <v>507.60128029999998</v>
      </c>
      <c r="AT64" s="204" t="s">
        <v>207</v>
      </c>
      <c r="AU64" s="199">
        <f t="shared" si="1"/>
        <v>4540.9927942000004</v>
      </c>
      <c r="AV64" s="199">
        <v>2.33</v>
      </c>
      <c r="AW64" s="199" t="str">
        <f>M64</f>
        <v>150/70</v>
      </c>
      <c r="AX64" s="199" t="str">
        <f>R64</f>
        <v>зависимая</v>
      </c>
      <c r="AY64" s="199">
        <f>I64</f>
        <v>3</v>
      </c>
      <c r="AZ64" s="199" t="s">
        <v>440</v>
      </c>
    </row>
    <row r="65" spans="1:52" s="208" customFormat="1" ht="15" customHeight="1" x14ac:dyDescent="0.3">
      <c r="A65" s="114">
        <v>54</v>
      </c>
      <c r="B65" s="174" t="s">
        <v>632</v>
      </c>
      <c r="C65" s="140" t="s">
        <v>445</v>
      </c>
      <c r="D65" s="199" t="s">
        <v>204</v>
      </c>
      <c r="E65" s="199" t="s">
        <v>264</v>
      </c>
      <c r="F65" s="199" t="s">
        <v>442</v>
      </c>
      <c r="G65" s="197" t="s">
        <v>145</v>
      </c>
      <c r="H65" s="198" t="s">
        <v>146</v>
      </c>
      <c r="I65" s="199">
        <v>3</v>
      </c>
      <c r="J65" s="198" t="s">
        <v>446</v>
      </c>
      <c r="K65" s="198">
        <v>50</v>
      </c>
      <c r="L65" s="198">
        <v>8.9</v>
      </c>
      <c r="M65" s="198" t="s">
        <v>438</v>
      </c>
      <c r="N65" s="198" t="s">
        <v>218</v>
      </c>
      <c r="O65" s="198" t="s">
        <v>219</v>
      </c>
      <c r="P65" s="198" t="s">
        <v>218</v>
      </c>
      <c r="Q65" s="198" t="s">
        <v>219</v>
      </c>
      <c r="R65" s="198" t="s">
        <v>296</v>
      </c>
      <c r="S65" s="198" t="s">
        <v>219</v>
      </c>
      <c r="T65" s="211" t="s">
        <v>455</v>
      </c>
      <c r="U65" s="212">
        <v>6174.67</v>
      </c>
      <c r="V65" s="212">
        <f>5601.52-82.68</f>
        <v>5518.84</v>
      </c>
      <c r="W65" s="199">
        <v>923.17</v>
      </c>
      <c r="X65" s="204" t="s">
        <v>207</v>
      </c>
      <c r="Y65" s="199">
        <v>648.92999999999995</v>
      </c>
      <c r="Z65" s="204" t="s">
        <v>207</v>
      </c>
      <c r="AA65" s="209">
        <v>785.14</v>
      </c>
      <c r="AB65" s="204" t="s">
        <v>207</v>
      </c>
      <c r="AC65" s="209">
        <v>522.33000000000004</v>
      </c>
      <c r="AD65" s="204" t="s">
        <v>207</v>
      </c>
      <c r="AE65" s="209">
        <v>147.94</v>
      </c>
      <c r="AF65" s="204" t="s">
        <v>207</v>
      </c>
      <c r="AG65" s="209">
        <v>214.04</v>
      </c>
      <c r="AH65" s="204" t="s">
        <v>207</v>
      </c>
      <c r="AI65" s="209">
        <v>228.36</v>
      </c>
      <c r="AJ65" s="204" t="s">
        <v>207</v>
      </c>
      <c r="AK65" s="199">
        <v>112.23</v>
      </c>
      <c r="AL65" s="204" t="s">
        <v>207</v>
      </c>
      <c r="AM65" s="209">
        <v>118.85</v>
      </c>
      <c r="AN65" s="204" t="s">
        <v>207</v>
      </c>
      <c r="AO65" s="209">
        <v>523.76</v>
      </c>
      <c r="AP65" s="204" t="s">
        <v>207</v>
      </c>
      <c r="AQ65" s="209">
        <v>432.17</v>
      </c>
      <c r="AR65" s="204" t="s">
        <v>207</v>
      </c>
      <c r="AS65" s="209">
        <v>602.96</v>
      </c>
      <c r="AT65" s="204" t="s">
        <v>207</v>
      </c>
      <c r="AU65" s="199">
        <f t="shared" si="1"/>
        <v>5259.88</v>
      </c>
      <c r="AV65" s="199">
        <v>2.25</v>
      </c>
      <c r="AW65" s="199" t="s">
        <v>438</v>
      </c>
      <c r="AX65" s="199" t="str">
        <f>R65</f>
        <v>зависимая</v>
      </c>
      <c r="AY65" s="199">
        <f>I65</f>
        <v>3</v>
      </c>
      <c r="AZ65" s="199" t="s">
        <v>440</v>
      </c>
    </row>
    <row r="66" spans="1:52" s="208" customFormat="1" ht="15" customHeight="1" x14ac:dyDescent="0.3">
      <c r="A66" s="114">
        <v>55</v>
      </c>
      <c r="B66" s="174" t="s">
        <v>633</v>
      </c>
      <c r="C66" s="186" t="s">
        <v>445</v>
      </c>
      <c r="D66" s="213" t="s">
        <v>204</v>
      </c>
      <c r="E66" s="213" t="s">
        <v>250</v>
      </c>
      <c r="F66" s="186" t="s">
        <v>442</v>
      </c>
      <c r="G66" s="197" t="s">
        <v>145</v>
      </c>
      <c r="H66" s="210" t="s">
        <v>146</v>
      </c>
      <c r="I66" s="214">
        <v>2</v>
      </c>
      <c r="J66" s="215" t="s">
        <v>450</v>
      </c>
      <c r="K66" s="215">
        <v>50</v>
      </c>
      <c r="L66" s="215">
        <v>10.06</v>
      </c>
      <c r="M66" s="215" t="s">
        <v>438</v>
      </c>
      <c r="N66" s="215" t="s">
        <v>218</v>
      </c>
      <c r="O66" s="215" t="s">
        <v>219</v>
      </c>
      <c r="P66" s="215" t="s">
        <v>218</v>
      </c>
      <c r="Q66" s="216" t="s">
        <v>219</v>
      </c>
      <c r="R66" s="215" t="s">
        <v>296</v>
      </c>
      <c r="S66" s="215" t="s">
        <v>219</v>
      </c>
      <c r="T66" s="215" t="s">
        <v>444</v>
      </c>
      <c r="U66" s="214">
        <v>2415.9299999999998</v>
      </c>
      <c r="V66" s="214">
        <v>2493.63</v>
      </c>
      <c r="W66" s="213">
        <v>271.36</v>
      </c>
      <c r="X66" s="217" t="s">
        <v>456</v>
      </c>
      <c r="Y66" s="213">
        <v>271.36</v>
      </c>
      <c r="Z66" s="217" t="s">
        <v>456</v>
      </c>
      <c r="AA66" s="213">
        <v>265.06</v>
      </c>
      <c r="AB66" s="217" t="s">
        <v>456</v>
      </c>
      <c r="AC66" s="213">
        <v>257.64999999999998</v>
      </c>
      <c r="AD66" s="217" t="s">
        <v>456</v>
      </c>
      <c r="AE66" s="213">
        <v>99.23</v>
      </c>
      <c r="AF66" s="217" t="s">
        <v>207</v>
      </c>
      <c r="AG66" s="213">
        <v>73.010000000000005</v>
      </c>
      <c r="AH66" s="217" t="s">
        <v>207</v>
      </c>
      <c r="AI66" s="213">
        <v>68.209999999999994</v>
      </c>
      <c r="AJ66" s="217" t="s">
        <v>207</v>
      </c>
      <c r="AK66" s="213">
        <v>59.55</v>
      </c>
      <c r="AL66" s="217" t="s">
        <v>207</v>
      </c>
      <c r="AM66" s="213">
        <v>72.83</v>
      </c>
      <c r="AN66" s="217" t="s">
        <v>207</v>
      </c>
      <c r="AO66" s="213">
        <v>259.95999999999998</v>
      </c>
      <c r="AP66" s="217" t="s">
        <v>207</v>
      </c>
      <c r="AQ66" s="213">
        <v>210.9</v>
      </c>
      <c r="AR66" s="217" t="s">
        <v>207</v>
      </c>
      <c r="AS66" s="213">
        <v>269</v>
      </c>
      <c r="AT66" s="217" t="s">
        <v>207</v>
      </c>
      <c r="AU66" s="196">
        <f t="shared" si="1"/>
        <v>2178.12</v>
      </c>
      <c r="AV66" s="214">
        <v>1.18</v>
      </c>
      <c r="AW66" s="186" t="str">
        <f>M66</f>
        <v>150/70</v>
      </c>
      <c r="AX66" s="186" t="str">
        <f>R66</f>
        <v>зависимая</v>
      </c>
      <c r="AY66" s="186">
        <v>1</v>
      </c>
      <c r="AZ66" s="186" t="s">
        <v>440</v>
      </c>
    </row>
    <row r="67" spans="1:52" s="208" customFormat="1" ht="15" customHeight="1" x14ac:dyDescent="0.3">
      <c r="A67" s="73">
        <v>56</v>
      </c>
      <c r="B67" s="174" t="s">
        <v>634</v>
      </c>
      <c r="C67" s="173" t="s">
        <v>435</v>
      </c>
      <c r="D67" s="196" t="s">
        <v>288</v>
      </c>
      <c r="E67" s="196" t="s">
        <v>205</v>
      </c>
      <c r="F67" s="173" t="s">
        <v>447</v>
      </c>
      <c r="G67" s="197" t="s">
        <v>145</v>
      </c>
      <c r="H67" s="198" t="s">
        <v>146</v>
      </c>
      <c r="I67" s="199">
        <v>1</v>
      </c>
      <c r="J67" s="200" t="s">
        <v>437</v>
      </c>
      <c r="K67" s="201">
        <v>40</v>
      </c>
      <c r="L67" s="202">
        <v>8.14</v>
      </c>
      <c r="M67" s="200" t="s">
        <v>438</v>
      </c>
      <c r="N67" s="200" t="s">
        <v>218</v>
      </c>
      <c r="O67" s="200" t="s">
        <v>219</v>
      </c>
      <c r="P67" s="200" t="s">
        <v>218</v>
      </c>
      <c r="Q67" s="200" t="s">
        <v>219</v>
      </c>
      <c r="R67" s="200" t="s">
        <v>208</v>
      </c>
      <c r="S67" s="200" t="s">
        <v>219</v>
      </c>
      <c r="T67" s="200"/>
      <c r="U67" s="199">
        <v>1562.4</v>
      </c>
      <c r="V67" s="199">
        <v>1561.63</v>
      </c>
      <c r="W67" s="196">
        <v>243.22</v>
      </c>
      <c r="X67" s="196" t="s">
        <v>207</v>
      </c>
      <c r="Y67" s="196">
        <v>190.79</v>
      </c>
      <c r="Z67" s="196" t="s">
        <v>207</v>
      </c>
      <c r="AA67" s="196">
        <v>244.32</v>
      </c>
      <c r="AB67" s="196" t="s">
        <v>207</v>
      </c>
      <c r="AC67" s="196">
        <v>147.52000000000001</v>
      </c>
      <c r="AD67" s="196" t="s">
        <v>207</v>
      </c>
      <c r="AE67" s="196">
        <v>77.459999999999994</v>
      </c>
      <c r="AF67" s="196" t="s">
        <v>207</v>
      </c>
      <c r="AG67" s="196">
        <v>33.090000000000003</v>
      </c>
      <c r="AH67" s="196" t="s">
        <v>207</v>
      </c>
      <c r="AI67" s="196">
        <v>34.43</v>
      </c>
      <c r="AJ67" s="196" t="s">
        <v>207</v>
      </c>
      <c r="AK67" s="196">
        <v>34.19</v>
      </c>
      <c r="AL67" s="196" t="s">
        <v>207</v>
      </c>
      <c r="AM67" s="196">
        <v>39.340000000000003</v>
      </c>
      <c r="AN67" s="196" t="s">
        <v>207</v>
      </c>
      <c r="AO67" s="196">
        <v>173.37</v>
      </c>
      <c r="AP67" s="196" t="s">
        <v>207</v>
      </c>
      <c r="AQ67" s="196">
        <v>139.16999999999999</v>
      </c>
      <c r="AR67" s="196" t="s">
        <v>207</v>
      </c>
      <c r="AS67" s="196">
        <v>191.9</v>
      </c>
      <c r="AT67" s="196" t="s">
        <v>207</v>
      </c>
      <c r="AU67" s="196">
        <f t="shared" si="1"/>
        <v>1548.8000000000002</v>
      </c>
      <c r="AV67" s="199">
        <v>0.8</v>
      </c>
      <c r="AW67" s="196" t="s">
        <v>438</v>
      </c>
      <c r="AX67" s="173" t="s">
        <v>296</v>
      </c>
      <c r="AY67" s="196">
        <v>1</v>
      </c>
      <c r="AZ67" s="196" t="s">
        <v>440</v>
      </c>
    </row>
    <row r="68" spans="1:52" s="208" customFormat="1" ht="15" customHeight="1" x14ac:dyDescent="0.3">
      <c r="A68" s="114">
        <v>57</v>
      </c>
      <c r="B68" s="174" t="s">
        <v>635</v>
      </c>
      <c r="C68" s="173" t="s">
        <v>435</v>
      </c>
      <c r="D68" s="196" t="s">
        <v>288</v>
      </c>
      <c r="E68" s="196" t="s">
        <v>205</v>
      </c>
      <c r="F68" s="173" t="s">
        <v>447</v>
      </c>
      <c r="G68" s="197" t="s">
        <v>145</v>
      </c>
      <c r="H68" s="198" t="s">
        <v>146</v>
      </c>
      <c r="I68" s="199">
        <v>1</v>
      </c>
      <c r="J68" s="200" t="s">
        <v>437</v>
      </c>
      <c r="K68" s="201">
        <v>80</v>
      </c>
      <c r="L68" s="202"/>
      <c r="M68" s="200" t="s">
        <v>438</v>
      </c>
      <c r="N68" s="200" t="s">
        <v>218</v>
      </c>
      <c r="O68" s="200" t="s">
        <v>219</v>
      </c>
      <c r="P68" s="200" t="s">
        <v>218</v>
      </c>
      <c r="Q68" s="200" t="s">
        <v>219</v>
      </c>
      <c r="R68" s="200" t="s">
        <v>208</v>
      </c>
      <c r="S68" s="200" t="s">
        <v>219</v>
      </c>
      <c r="T68" s="200"/>
      <c r="U68" s="199">
        <v>3308.42</v>
      </c>
      <c r="V68" s="199">
        <v>3444.17</v>
      </c>
      <c r="W68" s="196">
        <v>547.74</v>
      </c>
      <c r="X68" s="196" t="s">
        <v>207</v>
      </c>
      <c r="Y68" s="196">
        <v>400.11</v>
      </c>
      <c r="Z68" s="196" t="s">
        <v>207</v>
      </c>
      <c r="AA68" s="196">
        <v>477.16</v>
      </c>
      <c r="AB68" s="196" t="s">
        <v>207</v>
      </c>
      <c r="AC68" s="196">
        <v>278.82</v>
      </c>
      <c r="AD68" s="196" t="s">
        <v>207</v>
      </c>
      <c r="AE68" s="196">
        <v>137.59</v>
      </c>
      <c r="AF68" s="196" t="s">
        <v>207</v>
      </c>
      <c r="AG68" s="196">
        <v>60.69</v>
      </c>
      <c r="AH68" s="196" t="s">
        <v>207</v>
      </c>
      <c r="AI68" s="196">
        <v>63.2</v>
      </c>
      <c r="AJ68" s="196" t="s">
        <v>207</v>
      </c>
      <c r="AK68" s="196">
        <v>55.77</v>
      </c>
      <c r="AL68" s="196" t="s">
        <v>207</v>
      </c>
      <c r="AM68" s="196">
        <v>64.599999999999994</v>
      </c>
      <c r="AN68" s="196" t="s">
        <v>207</v>
      </c>
      <c r="AO68" s="196">
        <v>308.14999999999998</v>
      </c>
      <c r="AP68" s="196" t="s">
        <v>207</v>
      </c>
      <c r="AQ68" s="196">
        <v>296.38</v>
      </c>
      <c r="AR68" s="196" t="s">
        <v>207</v>
      </c>
      <c r="AS68" s="196">
        <v>396.6</v>
      </c>
      <c r="AT68" s="196" t="s">
        <v>207</v>
      </c>
      <c r="AU68" s="196">
        <f t="shared" si="1"/>
        <v>3086.81</v>
      </c>
      <c r="AV68" s="199">
        <v>1.84</v>
      </c>
      <c r="AW68" s="196" t="s">
        <v>438</v>
      </c>
      <c r="AX68" s="173" t="s">
        <v>296</v>
      </c>
      <c r="AY68" s="196">
        <v>1</v>
      </c>
      <c r="AZ68" s="196" t="s">
        <v>440</v>
      </c>
    </row>
    <row r="69" spans="1:52" s="208" customFormat="1" ht="15" customHeight="1" x14ac:dyDescent="0.3">
      <c r="A69" s="114">
        <v>58</v>
      </c>
      <c r="B69" s="174" t="s">
        <v>636</v>
      </c>
      <c r="C69" s="173" t="s">
        <v>435</v>
      </c>
      <c r="D69" s="196" t="s">
        <v>288</v>
      </c>
      <c r="E69" s="196" t="s">
        <v>205</v>
      </c>
      <c r="F69" s="173" t="s">
        <v>447</v>
      </c>
      <c r="G69" s="197" t="s">
        <v>145</v>
      </c>
      <c r="H69" s="198" t="s">
        <v>146</v>
      </c>
      <c r="I69" s="199">
        <v>1</v>
      </c>
      <c r="J69" s="200" t="s">
        <v>437</v>
      </c>
      <c r="K69" s="201">
        <v>40</v>
      </c>
      <c r="L69" s="202">
        <v>8.14</v>
      </c>
      <c r="M69" s="200" t="s">
        <v>438</v>
      </c>
      <c r="N69" s="200" t="s">
        <v>218</v>
      </c>
      <c r="O69" s="200" t="s">
        <v>219</v>
      </c>
      <c r="P69" s="200" t="s">
        <v>218</v>
      </c>
      <c r="Q69" s="200" t="s">
        <v>219</v>
      </c>
      <c r="R69" s="200" t="s">
        <v>208</v>
      </c>
      <c r="S69" s="200" t="s">
        <v>219</v>
      </c>
      <c r="T69" s="200"/>
      <c r="U69" s="199">
        <v>1462.44</v>
      </c>
      <c r="V69" s="199">
        <v>1564.49</v>
      </c>
      <c r="W69" s="199">
        <v>160.16999999999999</v>
      </c>
      <c r="X69" s="199" t="s">
        <v>456</v>
      </c>
      <c r="Y69" s="199">
        <v>160.16999999999999</v>
      </c>
      <c r="Z69" s="199" t="s">
        <v>456</v>
      </c>
      <c r="AA69" s="199">
        <v>145.71</v>
      </c>
      <c r="AB69" s="199" t="s">
        <v>456</v>
      </c>
      <c r="AC69" s="196">
        <v>122.28</v>
      </c>
      <c r="AD69" s="196" t="s">
        <v>207</v>
      </c>
      <c r="AE69" s="196">
        <v>74.09</v>
      </c>
      <c r="AF69" s="196" t="s">
        <v>207</v>
      </c>
      <c r="AG69" s="196">
        <v>40.78</v>
      </c>
      <c r="AH69" s="196" t="s">
        <v>207</v>
      </c>
      <c r="AI69" s="196">
        <v>37.53</v>
      </c>
      <c r="AJ69" s="196" t="s">
        <v>207</v>
      </c>
      <c r="AK69" s="196">
        <v>42.08</v>
      </c>
      <c r="AL69" s="196" t="s">
        <v>207</v>
      </c>
      <c r="AM69" s="196">
        <v>45.04</v>
      </c>
      <c r="AN69" s="196" t="s">
        <v>207</v>
      </c>
      <c r="AO69" s="196">
        <v>155.34</v>
      </c>
      <c r="AP69" s="196" t="s">
        <v>207</v>
      </c>
      <c r="AQ69" s="196">
        <v>131.94999999999999</v>
      </c>
      <c r="AR69" s="196" t="s">
        <v>207</v>
      </c>
      <c r="AS69" s="196">
        <v>148.75</v>
      </c>
      <c r="AT69" s="196" t="s">
        <v>207</v>
      </c>
      <c r="AU69" s="196">
        <f t="shared" si="1"/>
        <v>1263.8899999999999</v>
      </c>
      <c r="AV69" s="199">
        <v>0.66</v>
      </c>
      <c r="AW69" s="173" t="s">
        <v>438</v>
      </c>
      <c r="AX69" s="173" t="s">
        <v>296</v>
      </c>
      <c r="AY69" s="196">
        <v>1</v>
      </c>
      <c r="AZ69" s="196" t="s">
        <v>440</v>
      </c>
    </row>
    <row r="70" spans="1:52" s="208" customFormat="1" ht="15" customHeight="1" x14ac:dyDescent="0.3">
      <c r="A70" s="114">
        <v>59</v>
      </c>
      <c r="B70" s="174" t="s">
        <v>637</v>
      </c>
      <c r="C70" s="173" t="s">
        <v>435</v>
      </c>
      <c r="D70" s="196" t="s">
        <v>288</v>
      </c>
      <c r="E70" s="196" t="s">
        <v>205</v>
      </c>
      <c r="F70" s="173" t="s">
        <v>447</v>
      </c>
      <c r="G70" s="197" t="s">
        <v>145</v>
      </c>
      <c r="H70" s="198" t="s">
        <v>146</v>
      </c>
      <c r="I70" s="199">
        <v>1</v>
      </c>
      <c r="J70" s="200" t="s">
        <v>437</v>
      </c>
      <c r="K70" s="201">
        <v>40</v>
      </c>
      <c r="L70" s="202">
        <v>7</v>
      </c>
      <c r="M70" s="200" t="s">
        <v>438</v>
      </c>
      <c r="N70" s="200" t="s">
        <v>218</v>
      </c>
      <c r="O70" s="200" t="s">
        <v>219</v>
      </c>
      <c r="P70" s="200" t="s">
        <v>218</v>
      </c>
      <c r="Q70" s="200" t="s">
        <v>219</v>
      </c>
      <c r="R70" s="200" t="s">
        <v>208</v>
      </c>
      <c r="S70" s="200" t="s">
        <v>219</v>
      </c>
      <c r="T70" s="200"/>
      <c r="U70" s="199">
        <v>1386.01</v>
      </c>
      <c r="V70" s="199">
        <v>1496.62</v>
      </c>
      <c r="W70" s="196">
        <v>221.23</v>
      </c>
      <c r="X70" s="196" t="s">
        <v>207</v>
      </c>
      <c r="Y70" s="196">
        <v>163.69</v>
      </c>
      <c r="Z70" s="196" t="s">
        <v>207</v>
      </c>
      <c r="AA70" s="196">
        <v>192.46</v>
      </c>
      <c r="AB70" s="196" t="s">
        <v>207</v>
      </c>
      <c r="AC70" s="196">
        <v>124.02</v>
      </c>
      <c r="AD70" s="196" t="s">
        <v>207</v>
      </c>
      <c r="AE70" s="196">
        <v>54.77</v>
      </c>
      <c r="AF70" s="196" t="s">
        <v>207</v>
      </c>
      <c r="AG70" s="206">
        <v>41.54081632653061</v>
      </c>
      <c r="AH70" s="196" t="s">
        <v>456</v>
      </c>
      <c r="AI70" s="196">
        <v>32.409999999999997</v>
      </c>
      <c r="AJ70" s="196" t="s">
        <v>456</v>
      </c>
      <c r="AK70" s="196">
        <v>40.33</v>
      </c>
      <c r="AL70" s="196" t="s">
        <v>207</v>
      </c>
      <c r="AM70" s="196">
        <v>40.299999999999997</v>
      </c>
      <c r="AN70" s="196" t="s">
        <v>207</v>
      </c>
      <c r="AO70" s="196">
        <v>150.93</v>
      </c>
      <c r="AP70" s="196" t="s">
        <v>207</v>
      </c>
      <c r="AQ70" s="196">
        <v>129.22</v>
      </c>
      <c r="AR70" s="196" t="s">
        <v>207</v>
      </c>
      <c r="AS70" s="196">
        <v>159.66</v>
      </c>
      <c r="AT70" s="196" t="s">
        <v>207</v>
      </c>
      <c r="AU70" s="196">
        <f t="shared" si="1"/>
        <v>1350.5608163265306</v>
      </c>
      <c r="AV70" s="199">
        <v>0.62</v>
      </c>
      <c r="AW70" s="173" t="s">
        <v>438</v>
      </c>
      <c r="AX70" s="173" t="s">
        <v>296</v>
      </c>
      <c r="AY70" s="196">
        <v>1</v>
      </c>
      <c r="AZ70" s="196" t="s">
        <v>440</v>
      </c>
    </row>
    <row r="71" spans="1:52" s="208" customFormat="1" ht="15" customHeight="1" x14ac:dyDescent="0.3">
      <c r="A71" s="73">
        <v>60</v>
      </c>
      <c r="B71" s="174" t="s">
        <v>638</v>
      </c>
      <c r="C71" s="173" t="s">
        <v>435</v>
      </c>
      <c r="D71" s="196" t="s">
        <v>288</v>
      </c>
      <c r="E71" s="196" t="s">
        <v>205</v>
      </c>
      <c r="F71" s="173" t="s">
        <v>447</v>
      </c>
      <c r="G71" s="197" t="s">
        <v>145</v>
      </c>
      <c r="H71" s="198" t="s">
        <v>146</v>
      </c>
      <c r="I71" s="199">
        <v>1</v>
      </c>
      <c r="J71" s="200" t="s">
        <v>437</v>
      </c>
      <c r="K71" s="201">
        <v>40</v>
      </c>
      <c r="L71" s="202">
        <v>8.14</v>
      </c>
      <c r="M71" s="200" t="s">
        <v>438</v>
      </c>
      <c r="N71" s="200" t="s">
        <v>218</v>
      </c>
      <c r="O71" s="200" t="s">
        <v>219</v>
      </c>
      <c r="P71" s="200" t="s">
        <v>218</v>
      </c>
      <c r="Q71" s="200" t="s">
        <v>219</v>
      </c>
      <c r="R71" s="200" t="s">
        <v>208</v>
      </c>
      <c r="S71" s="200" t="s">
        <v>219</v>
      </c>
      <c r="T71" s="200"/>
      <c r="U71" s="199">
        <v>2040.07</v>
      </c>
      <c r="V71" s="199">
        <v>2032.55</v>
      </c>
      <c r="W71" s="196">
        <v>327.68</v>
      </c>
      <c r="X71" s="196" t="s">
        <v>207</v>
      </c>
      <c r="Y71" s="196">
        <v>241.78</v>
      </c>
      <c r="Z71" s="196" t="s">
        <v>207</v>
      </c>
      <c r="AA71" s="196">
        <v>305.36</v>
      </c>
      <c r="AB71" s="196" t="s">
        <v>207</v>
      </c>
      <c r="AC71" s="196">
        <v>190.55</v>
      </c>
      <c r="AD71" s="196" t="s">
        <v>207</v>
      </c>
      <c r="AE71" s="196">
        <v>92.03</v>
      </c>
      <c r="AF71" s="196" t="s">
        <v>207</v>
      </c>
      <c r="AG71" s="196">
        <v>53.72</v>
      </c>
      <c r="AH71" s="196" t="s">
        <v>207</v>
      </c>
      <c r="AI71" s="196">
        <v>44.81</v>
      </c>
      <c r="AJ71" s="196" t="s">
        <v>207</v>
      </c>
      <c r="AK71" s="196">
        <v>45.72</v>
      </c>
      <c r="AL71" s="196" t="s">
        <v>207</v>
      </c>
      <c r="AM71" s="196">
        <v>57.97</v>
      </c>
      <c r="AN71" s="196" t="s">
        <v>207</v>
      </c>
      <c r="AO71" s="196">
        <v>118.37</v>
      </c>
      <c r="AP71" s="196" t="s">
        <v>207</v>
      </c>
      <c r="AQ71" s="196">
        <v>186.64</v>
      </c>
      <c r="AR71" s="196" t="s">
        <v>207</v>
      </c>
      <c r="AS71" s="196">
        <v>241.8</v>
      </c>
      <c r="AT71" s="196" t="s">
        <v>207</v>
      </c>
      <c r="AU71" s="196">
        <f t="shared" si="1"/>
        <v>1906.43</v>
      </c>
      <c r="AV71" s="199">
        <v>0.87</v>
      </c>
      <c r="AW71" s="173" t="s">
        <v>438</v>
      </c>
      <c r="AX71" s="173" t="s">
        <v>296</v>
      </c>
      <c r="AY71" s="196">
        <v>1</v>
      </c>
      <c r="AZ71" s="196" t="s">
        <v>440</v>
      </c>
    </row>
    <row r="72" spans="1:52" s="208" customFormat="1" ht="15" customHeight="1" x14ac:dyDescent="0.3">
      <c r="A72" s="114">
        <v>61</v>
      </c>
      <c r="B72" s="174" t="s">
        <v>639</v>
      </c>
      <c r="C72" s="173" t="s">
        <v>435</v>
      </c>
      <c r="D72" s="196" t="s">
        <v>288</v>
      </c>
      <c r="E72" s="196" t="s">
        <v>205</v>
      </c>
      <c r="F72" s="173" t="s">
        <v>447</v>
      </c>
      <c r="G72" s="197" t="s">
        <v>145</v>
      </c>
      <c r="H72" s="198" t="s">
        <v>146</v>
      </c>
      <c r="I72" s="199">
        <v>1</v>
      </c>
      <c r="J72" s="200" t="s">
        <v>437</v>
      </c>
      <c r="K72" s="201">
        <v>32</v>
      </c>
      <c r="L72" s="202"/>
      <c r="M72" s="200" t="s">
        <v>438</v>
      </c>
      <c r="N72" s="200" t="s">
        <v>218</v>
      </c>
      <c r="O72" s="200" t="s">
        <v>219</v>
      </c>
      <c r="P72" s="200" t="s">
        <v>218</v>
      </c>
      <c r="Q72" s="200" t="s">
        <v>219</v>
      </c>
      <c r="R72" s="200" t="s">
        <v>208</v>
      </c>
      <c r="S72" s="200" t="s">
        <v>219</v>
      </c>
      <c r="T72" s="173" t="s">
        <v>448</v>
      </c>
      <c r="U72" s="199"/>
      <c r="V72" s="199">
        <v>364.36</v>
      </c>
      <c r="W72" s="199">
        <v>62.66</v>
      </c>
      <c r="X72" s="199" t="s">
        <v>449</v>
      </c>
      <c r="Y72" s="199">
        <v>68.69</v>
      </c>
      <c r="Z72" s="199" t="s">
        <v>449</v>
      </c>
      <c r="AA72" s="199">
        <v>64.69</v>
      </c>
      <c r="AB72" s="199" t="s">
        <v>449</v>
      </c>
      <c r="AC72" s="199">
        <v>59.75</v>
      </c>
      <c r="AD72" s="199" t="s">
        <v>449</v>
      </c>
      <c r="AE72" s="199">
        <v>61.77</v>
      </c>
      <c r="AF72" s="199" t="s">
        <v>449</v>
      </c>
      <c r="AG72" s="199">
        <v>23.2</v>
      </c>
      <c r="AH72" s="199" t="s">
        <v>449</v>
      </c>
      <c r="AI72" s="196">
        <v>8.1</v>
      </c>
      <c r="AJ72" s="196" t="s">
        <v>207</v>
      </c>
      <c r="AK72" s="196">
        <v>12.58</v>
      </c>
      <c r="AL72" s="196" t="s">
        <v>207</v>
      </c>
      <c r="AM72" s="196">
        <v>14.33</v>
      </c>
      <c r="AN72" s="196" t="s">
        <v>207</v>
      </c>
      <c r="AO72" s="196">
        <v>68.28</v>
      </c>
      <c r="AP72" s="196" t="s">
        <v>207</v>
      </c>
      <c r="AQ72" s="196">
        <v>54.3</v>
      </c>
      <c r="AR72" s="196" t="s">
        <v>207</v>
      </c>
      <c r="AS72" s="196">
        <v>76.7</v>
      </c>
      <c r="AT72" s="196" t="s">
        <v>207</v>
      </c>
      <c r="AU72" s="196">
        <f t="shared" si="1"/>
        <v>575.04999999999995</v>
      </c>
      <c r="AV72" s="199">
        <v>0.26</v>
      </c>
      <c r="AW72" s="196" t="s">
        <v>438</v>
      </c>
      <c r="AX72" s="173" t="s">
        <v>296</v>
      </c>
      <c r="AY72" s="196">
        <v>1</v>
      </c>
      <c r="AZ72" s="196" t="s">
        <v>440</v>
      </c>
    </row>
    <row r="73" spans="1:52" s="208" customFormat="1" ht="15" customHeight="1" x14ac:dyDescent="0.3">
      <c r="A73" s="114">
        <v>62</v>
      </c>
      <c r="B73" s="174" t="s">
        <v>640</v>
      </c>
      <c r="C73" s="173" t="s">
        <v>435</v>
      </c>
      <c r="D73" s="196" t="s">
        <v>288</v>
      </c>
      <c r="E73" s="196" t="s">
        <v>205</v>
      </c>
      <c r="F73" s="173" t="s">
        <v>447</v>
      </c>
      <c r="G73" s="197" t="s">
        <v>145</v>
      </c>
      <c r="H73" s="198" t="s">
        <v>146</v>
      </c>
      <c r="I73" s="199">
        <v>1</v>
      </c>
      <c r="J73" s="200" t="s">
        <v>437</v>
      </c>
      <c r="K73" s="201">
        <v>65</v>
      </c>
      <c r="L73" s="202">
        <v>8.14</v>
      </c>
      <c r="M73" s="200" t="s">
        <v>438</v>
      </c>
      <c r="N73" s="200" t="s">
        <v>218</v>
      </c>
      <c r="O73" s="200" t="s">
        <v>219</v>
      </c>
      <c r="P73" s="200" t="s">
        <v>218</v>
      </c>
      <c r="Q73" s="200" t="s">
        <v>219</v>
      </c>
      <c r="R73" s="200" t="s">
        <v>208</v>
      </c>
      <c r="S73" s="200" t="s">
        <v>219</v>
      </c>
      <c r="T73" s="173" t="s">
        <v>457</v>
      </c>
      <c r="U73" s="199">
        <v>3648.44</v>
      </c>
      <c r="V73" s="199">
        <v>3524.81</v>
      </c>
      <c r="W73" s="199">
        <f>1800.44*0.06+421.88</f>
        <v>529.90639999999996</v>
      </c>
      <c r="X73" s="199" t="s">
        <v>456</v>
      </c>
      <c r="Y73" s="199">
        <v>389.27</v>
      </c>
      <c r="Z73" s="199" t="s">
        <v>207</v>
      </c>
      <c r="AA73" s="199">
        <v>539.54</v>
      </c>
      <c r="AB73" s="199" t="s">
        <v>207</v>
      </c>
      <c r="AC73" s="199">
        <v>332.95</v>
      </c>
      <c r="AD73" s="199" t="s">
        <v>207</v>
      </c>
      <c r="AE73" s="199">
        <f>67.46+73.23</f>
        <v>140.69</v>
      </c>
      <c r="AF73" s="199" t="s">
        <v>207</v>
      </c>
      <c r="AG73" s="199">
        <v>76.180000000000007</v>
      </c>
      <c r="AH73" s="199" t="s">
        <v>207</v>
      </c>
      <c r="AI73" s="199">
        <v>69.34</v>
      </c>
      <c r="AJ73" s="199" t="s">
        <v>207</v>
      </c>
      <c r="AK73" s="199">
        <v>68.84</v>
      </c>
      <c r="AL73" s="199" t="s">
        <v>207</v>
      </c>
      <c r="AM73" s="199">
        <v>82.77</v>
      </c>
      <c r="AN73" s="199" t="s">
        <v>207</v>
      </c>
      <c r="AO73" s="199">
        <v>355.33</v>
      </c>
      <c r="AP73" s="199" t="s">
        <v>207</v>
      </c>
      <c r="AQ73" s="199">
        <v>320.85000000000002</v>
      </c>
      <c r="AR73" s="199" t="s">
        <v>207</v>
      </c>
      <c r="AS73" s="199">
        <v>427.9</v>
      </c>
      <c r="AT73" s="199" t="s">
        <v>207</v>
      </c>
      <c r="AU73" s="196">
        <f t="shared" si="1"/>
        <v>3333.5664000000002</v>
      </c>
      <c r="AV73" s="199">
        <v>1.92</v>
      </c>
      <c r="AW73" s="173" t="s">
        <v>438</v>
      </c>
      <c r="AX73" s="173" t="s">
        <v>296</v>
      </c>
      <c r="AY73" s="196">
        <v>1</v>
      </c>
      <c r="AZ73" s="196" t="s">
        <v>440</v>
      </c>
    </row>
    <row r="74" spans="1:52" s="208" customFormat="1" ht="15" customHeight="1" x14ac:dyDescent="0.3">
      <c r="A74" s="114">
        <v>63</v>
      </c>
      <c r="B74" s="174" t="s">
        <v>641</v>
      </c>
      <c r="C74" s="186" t="s">
        <v>445</v>
      </c>
      <c r="D74" s="213" t="s">
        <v>288</v>
      </c>
      <c r="E74" s="213" t="s">
        <v>264</v>
      </c>
      <c r="F74" s="186" t="s">
        <v>442</v>
      </c>
      <c r="G74" s="197" t="s">
        <v>145</v>
      </c>
      <c r="H74" s="210" t="s">
        <v>146</v>
      </c>
      <c r="I74" s="214">
        <v>1</v>
      </c>
      <c r="J74" s="215" t="s">
        <v>446</v>
      </c>
      <c r="K74" s="215">
        <v>40</v>
      </c>
      <c r="L74" s="215">
        <v>8.14</v>
      </c>
      <c r="M74" s="215" t="s">
        <v>438</v>
      </c>
      <c r="N74" s="215" t="s">
        <v>218</v>
      </c>
      <c r="O74" s="215" t="s">
        <v>219</v>
      </c>
      <c r="P74" s="215" t="s">
        <v>218</v>
      </c>
      <c r="Q74" s="216" t="s">
        <v>219</v>
      </c>
      <c r="R74" s="215" t="s">
        <v>296</v>
      </c>
      <c r="S74" s="215" t="s">
        <v>219</v>
      </c>
      <c r="T74" s="215" t="s">
        <v>444</v>
      </c>
      <c r="U74" s="214">
        <v>2073.14</v>
      </c>
      <c r="V74" s="214">
        <v>2116.56</v>
      </c>
      <c r="W74" s="213">
        <v>334.13</v>
      </c>
      <c r="X74" s="217" t="s">
        <v>207</v>
      </c>
      <c r="Y74" s="213">
        <v>246.64</v>
      </c>
      <c r="Z74" s="217" t="s">
        <v>207</v>
      </c>
      <c r="AA74" s="213">
        <v>319</v>
      </c>
      <c r="AB74" s="217" t="s">
        <v>207</v>
      </c>
      <c r="AC74" s="213">
        <v>162.69999999999999</v>
      </c>
      <c r="AD74" s="217" t="s">
        <v>207</v>
      </c>
      <c r="AE74" s="213">
        <v>104.75</v>
      </c>
      <c r="AF74" s="217" t="s">
        <v>207</v>
      </c>
      <c r="AG74" s="213">
        <v>59.42</v>
      </c>
      <c r="AH74" s="217" t="s">
        <v>207</v>
      </c>
      <c r="AI74" s="213">
        <v>55.97</v>
      </c>
      <c r="AJ74" s="217" t="s">
        <v>207</v>
      </c>
      <c r="AK74" s="213">
        <v>62.48</v>
      </c>
      <c r="AL74" s="217" t="s">
        <v>207</v>
      </c>
      <c r="AM74" s="213">
        <v>75.52</v>
      </c>
      <c r="AN74" s="217" t="s">
        <v>207</v>
      </c>
      <c r="AO74" s="213">
        <v>205.28</v>
      </c>
      <c r="AP74" s="217" t="s">
        <v>207</v>
      </c>
      <c r="AQ74" s="213">
        <v>196.56</v>
      </c>
      <c r="AR74" s="217" t="s">
        <v>207</v>
      </c>
      <c r="AS74" s="213">
        <v>221</v>
      </c>
      <c r="AT74" s="217" t="s">
        <v>207</v>
      </c>
      <c r="AU74" s="196">
        <f t="shared" si="1"/>
        <v>2043.45</v>
      </c>
      <c r="AV74" s="214">
        <v>0.96</v>
      </c>
      <c r="AW74" s="186" t="str">
        <f>M74</f>
        <v>150/70</v>
      </c>
      <c r="AX74" s="186" t="str">
        <f>R74</f>
        <v>зависимая</v>
      </c>
      <c r="AY74" s="186">
        <f>I74</f>
        <v>1</v>
      </c>
      <c r="AZ74" s="186" t="s">
        <v>440</v>
      </c>
    </row>
    <row r="75" spans="1:52" s="208" customFormat="1" ht="15" customHeight="1" x14ac:dyDescent="0.3">
      <c r="A75" s="73">
        <v>64</v>
      </c>
      <c r="B75" s="174" t="s">
        <v>642</v>
      </c>
      <c r="C75" s="186" t="s">
        <v>445</v>
      </c>
      <c r="D75" s="213" t="s">
        <v>288</v>
      </c>
      <c r="E75" s="213" t="s">
        <v>264</v>
      </c>
      <c r="F75" s="186" t="s">
        <v>442</v>
      </c>
      <c r="G75" s="197" t="s">
        <v>145</v>
      </c>
      <c r="H75" s="210" t="s">
        <v>146</v>
      </c>
      <c r="I75" s="214">
        <v>3</v>
      </c>
      <c r="J75" s="215" t="s">
        <v>446</v>
      </c>
      <c r="K75" s="215">
        <v>40</v>
      </c>
      <c r="L75" s="215">
        <v>7.93</v>
      </c>
      <c r="M75" s="215" t="s">
        <v>438</v>
      </c>
      <c r="N75" s="215" t="s">
        <v>218</v>
      </c>
      <c r="O75" s="215" t="s">
        <v>219</v>
      </c>
      <c r="P75" s="215" t="s">
        <v>218</v>
      </c>
      <c r="Q75" s="216" t="s">
        <v>219</v>
      </c>
      <c r="R75" s="215" t="s">
        <v>296</v>
      </c>
      <c r="S75" s="215" t="s">
        <v>219</v>
      </c>
      <c r="T75" s="215" t="s">
        <v>444</v>
      </c>
      <c r="U75" s="214">
        <v>4510.93</v>
      </c>
      <c r="V75" s="214">
        <v>4390.16</v>
      </c>
      <c r="W75" s="213">
        <v>733.56</v>
      </c>
      <c r="X75" s="217" t="s">
        <v>207</v>
      </c>
      <c r="Y75" s="213">
        <v>473.91</v>
      </c>
      <c r="Z75" s="217" t="s">
        <v>207</v>
      </c>
      <c r="AA75" s="213">
        <v>661.74</v>
      </c>
      <c r="AB75" s="217" t="s">
        <v>207</v>
      </c>
      <c r="AC75" s="213">
        <v>423.35</v>
      </c>
      <c r="AD75" s="217" t="s">
        <v>207</v>
      </c>
      <c r="AE75" s="213">
        <v>163.35</v>
      </c>
      <c r="AF75" s="217" t="s">
        <v>207</v>
      </c>
      <c r="AG75" s="213">
        <v>98.44</v>
      </c>
      <c r="AH75" s="217" t="s">
        <v>207</v>
      </c>
      <c r="AI75" s="213">
        <v>91.27</v>
      </c>
      <c r="AJ75" s="217" t="s">
        <v>207</v>
      </c>
      <c r="AK75" s="213">
        <v>93.61</v>
      </c>
      <c r="AL75" s="217" t="s">
        <v>207</v>
      </c>
      <c r="AM75" s="213">
        <v>114.63</v>
      </c>
      <c r="AN75" s="217" t="s">
        <v>207</v>
      </c>
      <c r="AO75" s="213">
        <v>372.75</v>
      </c>
      <c r="AP75" s="217" t="s">
        <v>207</v>
      </c>
      <c r="AQ75" s="213">
        <v>452.41</v>
      </c>
      <c r="AR75" s="217" t="s">
        <v>207</v>
      </c>
      <c r="AS75" s="213">
        <v>513.91999999999996</v>
      </c>
      <c r="AT75" s="217" t="s">
        <v>207</v>
      </c>
      <c r="AU75" s="196">
        <f t="shared" si="1"/>
        <v>4192.9399999999996</v>
      </c>
      <c r="AV75" s="214">
        <v>2.2799999999999998</v>
      </c>
      <c r="AW75" s="186" t="str">
        <f>M75</f>
        <v>150/70</v>
      </c>
      <c r="AX75" s="186" t="str">
        <f>R75</f>
        <v>зависимая</v>
      </c>
      <c r="AY75" s="186">
        <f>I75</f>
        <v>3</v>
      </c>
      <c r="AZ75" s="186" t="s">
        <v>440</v>
      </c>
    </row>
    <row r="76" spans="1:52" s="208" customFormat="1" ht="15" customHeight="1" x14ac:dyDescent="0.3">
      <c r="A76" s="114">
        <v>65</v>
      </c>
      <c r="B76" s="174" t="s">
        <v>643</v>
      </c>
      <c r="C76" s="173" t="s">
        <v>435</v>
      </c>
      <c r="D76" s="196" t="s">
        <v>288</v>
      </c>
      <c r="E76" s="196" t="s">
        <v>205</v>
      </c>
      <c r="F76" s="173" t="s">
        <v>447</v>
      </c>
      <c r="G76" s="197" t="s">
        <v>145</v>
      </c>
      <c r="H76" s="198" t="s">
        <v>146</v>
      </c>
      <c r="I76" s="199">
        <v>1</v>
      </c>
      <c r="J76" s="200" t="s">
        <v>437</v>
      </c>
      <c r="K76" s="201">
        <v>50</v>
      </c>
      <c r="L76" s="202">
        <v>7.93</v>
      </c>
      <c r="M76" s="200" t="s">
        <v>438</v>
      </c>
      <c r="N76" s="200" t="s">
        <v>218</v>
      </c>
      <c r="O76" s="200" t="s">
        <v>219</v>
      </c>
      <c r="P76" s="200" t="s">
        <v>218</v>
      </c>
      <c r="Q76" s="218" t="s">
        <v>219</v>
      </c>
      <c r="R76" s="200" t="s">
        <v>208</v>
      </c>
      <c r="S76" s="200" t="s">
        <v>219</v>
      </c>
      <c r="T76" s="200"/>
      <c r="U76" s="199">
        <v>1991.63</v>
      </c>
      <c r="V76" s="199">
        <v>1994.7</v>
      </c>
      <c r="W76" s="196">
        <v>288.95</v>
      </c>
      <c r="X76" s="196" t="s">
        <v>207</v>
      </c>
      <c r="Y76" s="196">
        <v>227.85</v>
      </c>
      <c r="Z76" s="196" t="s">
        <v>207</v>
      </c>
      <c r="AA76" s="196">
        <v>318.01</v>
      </c>
      <c r="AB76" s="196" t="s">
        <v>207</v>
      </c>
      <c r="AC76" s="196">
        <v>210.3</v>
      </c>
      <c r="AD76" s="196" t="s">
        <v>207</v>
      </c>
      <c r="AE76" s="196">
        <v>55.19</v>
      </c>
      <c r="AF76" s="196" t="s">
        <v>207</v>
      </c>
      <c r="AG76" s="196">
        <v>39.950000000000003</v>
      </c>
      <c r="AH76" s="196" t="s">
        <v>207</v>
      </c>
      <c r="AI76" s="196">
        <v>37.42</v>
      </c>
      <c r="AJ76" s="196" t="s">
        <v>207</v>
      </c>
      <c r="AK76" s="196">
        <v>37.36</v>
      </c>
      <c r="AL76" s="196" t="s">
        <v>207</v>
      </c>
      <c r="AM76" s="196">
        <v>47.37</v>
      </c>
      <c r="AN76" s="196" t="s">
        <v>207</v>
      </c>
      <c r="AO76" s="196">
        <v>160.57</v>
      </c>
      <c r="AP76" s="196" t="s">
        <v>207</v>
      </c>
      <c r="AQ76" s="196">
        <v>192.78</v>
      </c>
      <c r="AR76" s="196" t="s">
        <v>207</v>
      </c>
      <c r="AS76" s="196">
        <v>219.6</v>
      </c>
      <c r="AT76" s="196" t="s">
        <v>207</v>
      </c>
      <c r="AU76" s="196">
        <f t="shared" si="1"/>
        <v>1835.3499999999997</v>
      </c>
      <c r="AV76" s="199">
        <v>1.1100000000000001</v>
      </c>
      <c r="AW76" s="173" t="s">
        <v>438</v>
      </c>
      <c r="AX76" s="173" t="s">
        <v>296</v>
      </c>
      <c r="AY76" s="196">
        <v>1</v>
      </c>
      <c r="AZ76" s="196" t="s">
        <v>440</v>
      </c>
    </row>
    <row r="77" spans="1:52" s="208" customFormat="1" ht="15" customHeight="1" x14ac:dyDescent="0.3">
      <c r="A77" s="114">
        <v>66</v>
      </c>
      <c r="B77" s="174" t="s">
        <v>644</v>
      </c>
      <c r="C77" s="173" t="s">
        <v>435</v>
      </c>
      <c r="D77" s="196" t="s">
        <v>288</v>
      </c>
      <c r="E77" s="196" t="s">
        <v>205</v>
      </c>
      <c r="F77" s="173" t="s">
        <v>447</v>
      </c>
      <c r="G77" s="197" t="s">
        <v>145</v>
      </c>
      <c r="H77" s="198" t="s">
        <v>146</v>
      </c>
      <c r="I77" s="199">
        <v>1</v>
      </c>
      <c r="J77" s="200" t="s">
        <v>437</v>
      </c>
      <c r="K77" s="201">
        <v>50</v>
      </c>
      <c r="L77" s="202"/>
      <c r="M77" s="200" t="s">
        <v>438</v>
      </c>
      <c r="N77" s="200" t="s">
        <v>218</v>
      </c>
      <c r="O77" s="200" t="s">
        <v>219</v>
      </c>
      <c r="P77" s="200" t="s">
        <v>218</v>
      </c>
      <c r="Q77" s="200" t="s">
        <v>219</v>
      </c>
      <c r="R77" s="200" t="s">
        <v>208</v>
      </c>
      <c r="S77" s="200" t="s">
        <v>219</v>
      </c>
      <c r="T77" s="200"/>
      <c r="U77" s="199">
        <v>2216.9899999999998</v>
      </c>
      <c r="V77" s="199">
        <v>2256.58</v>
      </c>
      <c r="W77" s="196">
        <v>326.82</v>
      </c>
      <c r="X77" s="196" t="s">
        <v>207</v>
      </c>
      <c r="Y77" s="196">
        <v>226.48</v>
      </c>
      <c r="Z77" s="196" t="s">
        <v>207</v>
      </c>
      <c r="AA77" s="196">
        <v>302.06</v>
      </c>
      <c r="AB77" s="196" t="s">
        <v>207</v>
      </c>
      <c r="AC77" s="196">
        <v>206.49</v>
      </c>
      <c r="AD77" s="196" t="s">
        <v>207</v>
      </c>
      <c r="AE77" s="196">
        <v>82.14</v>
      </c>
      <c r="AF77" s="196" t="s">
        <v>207</v>
      </c>
      <c r="AG77" s="196">
        <v>49.49</v>
      </c>
      <c r="AH77" s="196" t="s">
        <v>207</v>
      </c>
      <c r="AI77" s="196">
        <v>47.44</v>
      </c>
      <c r="AJ77" s="196" t="s">
        <v>207</v>
      </c>
      <c r="AK77" s="196">
        <v>46.91</v>
      </c>
      <c r="AL77" s="196" t="s">
        <v>207</v>
      </c>
      <c r="AM77" s="196">
        <v>61.55</v>
      </c>
      <c r="AN77" s="196" t="s">
        <v>207</v>
      </c>
      <c r="AO77" s="196">
        <v>180.17</v>
      </c>
      <c r="AP77" s="196" t="s">
        <v>207</v>
      </c>
      <c r="AQ77" s="196">
        <v>204.64</v>
      </c>
      <c r="AR77" s="196" t="s">
        <v>207</v>
      </c>
      <c r="AS77" s="196">
        <v>253.94</v>
      </c>
      <c r="AT77" s="196" t="s">
        <v>207</v>
      </c>
      <c r="AU77" s="196">
        <f t="shared" si="1"/>
        <v>1988.13</v>
      </c>
      <c r="AV77" s="199">
        <v>1.1100000000000001</v>
      </c>
      <c r="AW77" s="196" t="s">
        <v>438</v>
      </c>
      <c r="AX77" s="173" t="s">
        <v>296</v>
      </c>
      <c r="AY77" s="196">
        <v>1</v>
      </c>
      <c r="AZ77" s="196" t="s">
        <v>440</v>
      </c>
    </row>
    <row r="78" spans="1:52" s="208" customFormat="1" ht="15" customHeight="1" x14ac:dyDescent="0.3">
      <c r="A78" s="114">
        <v>67</v>
      </c>
      <c r="B78" s="174" t="s">
        <v>645</v>
      </c>
      <c r="C78" s="173" t="s">
        <v>435</v>
      </c>
      <c r="D78" s="196" t="s">
        <v>288</v>
      </c>
      <c r="E78" s="196" t="s">
        <v>205</v>
      </c>
      <c r="F78" s="173" t="s">
        <v>447</v>
      </c>
      <c r="G78" s="197" t="s">
        <v>145</v>
      </c>
      <c r="H78" s="198" t="s">
        <v>146</v>
      </c>
      <c r="I78" s="199">
        <v>3</v>
      </c>
      <c r="J78" s="200" t="s">
        <v>437</v>
      </c>
      <c r="K78" s="201">
        <v>50</v>
      </c>
      <c r="L78" s="202"/>
      <c r="M78" s="200" t="s">
        <v>438</v>
      </c>
      <c r="N78" s="200" t="s">
        <v>218</v>
      </c>
      <c r="O78" s="200" t="s">
        <v>219</v>
      </c>
      <c r="P78" s="200" t="s">
        <v>218</v>
      </c>
      <c r="Q78" s="200" t="s">
        <v>219</v>
      </c>
      <c r="R78" s="200" t="s">
        <v>208</v>
      </c>
      <c r="S78" s="200" t="s">
        <v>219</v>
      </c>
      <c r="T78" s="173" t="s">
        <v>458</v>
      </c>
      <c r="U78" s="199">
        <v>1678.59</v>
      </c>
      <c r="V78" s="199">
        <v>6758.87</v>
      </c>
      <c r="W78" s="196">
        <v>1022.3</v>
      </c>
      <c r="X78" s="196" t="s">
        <v>207</v>
      </c>
      <c r="Y78" s="196">
        <v>762.39</v>
      </c>
      <c r="Z78" s="196" t="s">
        <v>207</v>
      </c>
      <c r="AA78" s="196">
        <v>1028.1199999999999</v>
      </c>
      <c r="AB78" s="196" t="s">
        <v>207</v>
      </c>
      <c r="AC78" s="196">
        <v>593.08000000000004</v>
      </c>
      <c r="AD78" s="196" t="s">
        <v>207</v>
      </c>
      <c r="AE78" s="196">
        <v>230.11</v>
      </c>
      <c r="AF78" s="196" t="s">
        <v>207</v>
      </c>
      <c r="AG78" s="196">
        <v>128.6</v>
      </c>
      <c r="AH78" s="196" t="s">
        <v>207</v>
      </c>
      <c r="AI78" s="196">
        <v>119.63</v>
      </c>
      <c r="AJ78" s="196" t="s">
        <v>207</v>
      </c>
      <c r="AK78" s="196">
        <v>117.17</v>
      </c>
      <c r="AL78" s="196" t="s">
        <v>207</v>
      </c>
      <c r="AM78" s="196">
        <v>155.69</v>
      </c>
      <c r="AN78" s="196" t="s">
        <v>207</v>
      </c>
      <c r="AO78" s="196">
        <v>629.58000000000004</v>
      </c>
      <c r="AP78" s="196" t="s">
        <v>207</v>
      </c>
      <c r="AQ78" s="196">
        <v>569.1</v>
      </c>
      <c r="AR78" s="196" t="s">
        <v>207</v>
      </c>
      <c r="AS78" s="196">
        <v>756</v>
      </c>
      <c r="AT78" s="196" t="s">
        <v>207</v>
      </c>
      <c r="AU78" s="196">
        <f t="shared" si="1"/>
        <v>6111.77</v>
      </c>
      <c r="AV78" s="199">
        <v>3.48</v>
      </c>
      <c r="AW78" s="196" t="s">
        <v>438</v>
      </c>
      <c r="AX78" s="173" t="s">
        <v>296</v>
      </c>
      <c r="AY78" s="196">
        <v>3</v>
      </c>
      <c r="AZ78" s="196" t="s">
        <v>440</v>
      </c>
    </row>
    <row r="79" spans="1:52" s="208" customFormat="1" ht="15" customHeight="1" x14ac:dyDescent="0.3">
      <c r="A79" s="73">
        <v>68</v>
      </c>
      <c r="B79" s="174" t="s">
        <v>646</v>
      </c>
      <c r="C79" s="173" t="s">
        <v>435</v>
      </c>
      <c r="D79" s="196" t="s">
        <v>288</v>
      </c>
      <c r="E79" s="196" t="s">
        <v>205</v>
      </c>
      <c r="F79" s="173" t="s">
        <v>447</v>
      </c>
      <c r="G79" s="197" t="s">
        <v>145</v>
      </c>
      <c r="H79" s="198" t="s">
        <v>146</v>
      </c>
      <c r="I79" s="199">
        <v>1</v>
      </c>
      <c r="J79" s="200" t="s">
        <v>437</v>
      </c>
      <c r="K79" s="201">
        <v>32</v>
      </c>
      <c r="L79" s="202"/>
      <c r="M79" s="200" t="s">
        <v>438</v>
      </c>
      <c r="N79" s="200" t="s">
        <v>218</v>
      </c>
      <c r="O79" s="200" t="s">
        <v>219</v>
      </c>
      <c r="P79" s="200" t="s">
        <v>218</v>
      </c>
      <c r="Q79" s="200" t="s">
        <v>219</v>
      </c>
      <c r="R79" s="200" t="s">
        <v>208</v>
      </c>
      <c r="S79" s="200" t="s">
        <v>219</v>
      </c>
      <c r="T79" s="173" t="s">
        <v>458</v>
      </c>
      <c r="U79" s="199">
        <v>313.33999999999997</v>
      </c>
      <c r="V79" s="199">
        <v>1393.68</v>
      </c>
      <c r="W79" s="196">
        <v>214.14</v>
      </c>
      <c r="X79" s="196" t="s">
        <v>207</v>
      </c>
      <c r="Y79" s="196">
        <v>169.25</v>
      </c>
      <c r="Z79" s="196" t="s">
        <v>207</v>
      </c>
      <c r="AA79" s="196">
        <v>208.96</v>
      </c>
      <c r="AB79" s="196" t="s">
        <v>207</v>
      </c>
      <c r="AC79" s="196">
        <v>139.22</v>
      </c>
      <c r="AD79" s="196" t="s">
        <v>207</v>
      </c>
      <c r="AE79" s="196">
        <v>55.74</v>
      </c>
      <c r="AF79" s="196" t="s">
        <v>207</v>
      </c>
      <c r="AG79" s="196">
        <v>31.62</v>
      </c>
      <c r="AH79" s="196" t="s">
        <v>207</v>
      </c>
      <c r="AI79" s="196">
        <v>29.73</v>
      </c>
      <c r="AJ79" s="196" t="s">
        <v>207</v>
      </c>
      <c r="AK79" s="196">
        <v>26.5</v>
      </c>
      <c r="AL79" s="196" t="s">
        <v>207</v>
      </c>
      <c r="AM79" s="196">
        <v>38.5</v>
      </c>
      <c r="AN79" s="196" t="s">
        <v>207</v>
      </c>
      <c r="AO79" s="196">
        <v>145.75</v>
      </c>
      <c r="AP79" s="196" t="s">
        <v>207</v>
      </c>
      <c r="AQ79" s="196">
        <v>114.5</v>
      </c>
      <c r="AR79" s="196" t="s">
        <v>207</v>
      </c>
      <c r="AS79" s="196">
        <v>157</v>
      </c>
      <c r="AT79" s="196" t="s">
        <v>207</v>
      </c>
      <c r="AU79" s="196">
        <f t="shared" si="1"/>
        <v>1330.91</v>
      </c>
      <c r="AV79" s="199">
        <v>0.65</v>
      </c>
      <c r="AW79" s="196" t="s">
        <v>438</v>
      </c>
      <c r="AX79" s="173" t="s">
        <v>296</v>
      </c>
      <c r="AY79" s="196">
        <v>1</v>
      </c>
      <c r="AZ79" s="196" t="s">
        <v>440</v>
      </c>
    </row>
    <row r="80" spans="1:52" s="208" customFormat="1" ht="15" customHeight="1" x14ac:dyDescent="0.3">
      <c r="A80" s="114">
        <v>69</v>
      </c>
      <c r="B80" s="174" t="s">
        <v>647</v>
      </c>
      <c r="C80" s="173" t="s">
        <v>435</v>
      </c>
      <c r="D80" s="196" t="s">
        <v>288</v>
      </c>
      <c r="E80" s="196" t="s">
        <v>205</v>
      </c>
      <c r="F80" s="173" t="s">
        <v>447</v>
      </c>
      <c r="G80" s="197" t="s">
        <v>145</v>
      </c>
      <c r="H80" s="198" t="s">
        <v>146</v>
      </c>
      <c r="I80" s="199">
        <v>1</v>
      </c>
      <c r="J80" s="200" t="s">
        <v>437</v>
      </c>
      <c r="K80" s="201">
        <v>40</v>
      </c>
      <c r="L80" s="202"/>
      <c r="M80" s="200" t="s">
        <v>438</v>
      </c>
      <c r="N80" s="200" t="s">
        <v>218</v>
      </c>
      <c r="O80" s="200" t="s">
        <v>219</v>
      </c>
      <c r="P80" s="200" t="s">
        <v>218</v>
      </c>
      <c r="Q80" s="200" t="s">
        <v>219</v>
      </c>
      <c r="R80" s="200" t="s">
        <v>208</v>
      </c>
      <c r="S80" s="200" t="s">
        <v>219</v>
      </c>
      <c r="T80" s="173" t="s">
        <v>458</v>
      </c>
      <c r="U80" s="199">
        <v>318.32</v>
      </c>
      <c r="V80" s="199">
        <v>1408.55</v>
      </c>
      <c r="W80" s="196">
        <v>204.59</v>
      </c>
      <c r="X80" s="196" t="s">
        <v>207</v>
      </c>
      <c r="Y80" s="196">
        <v>120.94</v>
      </c>
      <c r="Z80" s="196" t="s">
        <v>207</v>
      </c>
      <c r="AA80" s="196">
        <v>208.73</v>
      </c>
      <c r="AB80" s="196" t="s">
        <v>207</v>
      </c>
      <c r="AC80" s="196">
        <v>135.72999999999999</v>
      </c>
      <c r="AD80" s="196" t="s">
        <v>207</v>
      </c>
      <c r="AE80" s="196">
        <v>58.26</v>
      </c>
      <c r="AF80" s="196" t="s">
        <v>207</v>
      </c>
      <c r="AG80" s="196">
        <v>34.590000000000003</v>
      </c>
      <c r="AH80" s="196" t="s">
        <v>207</v>
      </c>
      <c r="AI80" s="196">
        <v>32.31</v>
      </c>
      <c r="AJ80" s="196" t="s">
        <v>207</v>
      </c>
      <c r="AK80" s="196">
        <v>30.65</v>
      </c>
      <c r="AL80" s="196" t="s">
        <v>207</v>
      </c>
      <c r="AM80" s="196">
        <v>39.79</v>
      </c>
      <c r="AN80" s="196" t="s">
        <v>207</v>
      </c>
      <c r="AO80" s="196">
        <v>132.11000000000001</v>
      </c>
      <c r="AP80" s="196" t="s">
        <v>207</v>
      </c>
      <c r="AQ80" s="196">
        <v>118.6</v>
      </c>
      <c r="AR80" s="196" t="s">
        <v>207</v>
      </c>
      <c r="AS80" s="196">
        <v>153.69999999999999</v>
      </c>
      <c r="AT80" s="196" t="s">
        <v>207</v>
      </c>
      <c r="AU80" s="196">
        <f t="shared" si="1"/>
        <v>1270</v>
      </c>
      <c r="AV80" s="199">
        <v>0.65</v>
      </c>
      <c r="AW80" s="196" t="s">
        <v>438</v>
      </c>
      <c r="AX80" s="173" t="s">
        <v>296</v>
      </c>
      <c r="AY80" s="196">
        <v>1</v>
      </c>
      <c r="AZ80" s="196" t="s">
        <v>440</v>
      </c>
    </row>
    <row r="81" spans="1:52" s="208" customFormat="1" ht="15" customHeight="1" x14ac:dyDescent="0.3">
      <c r="A81" s="114">
        <v>70</v>
      </c>
      <c r="B81" s="174" t="s">
        <v>648</v>
      </c>
      <c r="C81" s="173" t="s">
        <v>435</v>
      </c>
      <c r="D81" s="196" t="s">
        <v>288</v>
      </c>
      <c r="E81" s="196" t="s">
        <v>205</v>
      </c>
      <c r="F81" s="173" t="s">
        <v>447</v>
      </c>
      <c r="G81" s="197" t="s">
        <v>145</v>
      </c>
      <c r="H81" s="198" t="s">
        <v>146</v>
      </c>
      <c r="I81" s="199">
        <v>2</v>
      </c>
      <c r="J81" s="200" t="s">
        <v>437</v>
      </c>
      <c r="K81" s="201">
        <v>40</v>
      </c>
      <c r="L81" s="202">
        <v>7.93</v>
      </c>
      <c r="M81" s="200" t="s">
        <v>438</v>
      </c>
      <c r="N81" s="200" t="s">
        <v>218</v>
      </c>
      <c r="O81" s="200" t="s">
        <v>219</v>
      </c>
      <c r="P81" s="200" t="s">
        <v>218</v>
      </c>
      <c r="Q81" s="200" t="s">
        <v>219</v>
      </c>
      <c r="R81" s="200" t="s">
        <v>208</v>
      </c>
      <c r="S81" s="200" t="s">
        <v>219</v>
      </c>
      <c r="T81" s="200"/>
      <c r="U81" s="199">
        <v>2044.58</v>
      </c>
      <c r="V81" s="199">
        <v>2099.7600000000002</v>
      </c>
      <c r="W81" s="196">
        <v>284.97000000000003</v>
      </c>
      <c r="X81" s="196" t="s">
        <v>207</v>
      </c>
      <c r="Y81" s="196">
        <v>198.73</v>
      </c>
      <c r="Z81" s="196" t="s">
        <v>207</v>
      </c>
      <c r="AA81" s="196">
        <v>283.82</v>
      </c>
      <c r="AB81" s="196" t="s">
        <v>207</v>
      </c>
      <c r="AC81" s="196">
        <v>196.65</v>
      </c>
      <c r="AD81" s="196" t="s">
        <v>207</v>
      </c>
      <c r="AE81" s="196">
        <v>75.209999999999994</v>
      </c>
      <c r="AF81" s="196" t="s">
        <v>207</v>
      </c>
      <c r="AG81" s="196">
        <v>53.92</v>
      </c>
      <c r="AH81" s="196" t="s">
        <v>207</v>
      </c>
      <c r="AI81" s="196">
        <v>47.29</v>
      </c>
      <c r="AJ81" s="196" t="s">
        <v>207</v>
      </c>
      <c r="AK81" s="196">
        <v>48.72</v>
      </c>
      <c r="AL81" s="196" t="s">
        <v>207</v>
      </c>
      <c r="AM81" s="196">
        <v>63.14</v>
      </c>
      <c r="AN81" s="196" t="s">
        <v>207</v>
      </c>
      <c r="AO81" s="196">
        <v>180.47</v>
      </c>
      <c r="AP81" s="196" t="s">
        <v>207</v>
      </c>
      <c r="AQ81" s="196">
        <v>202.23</v>
      </c>
      <c r="AR81" s="196" t="s">
        <v>207</v>
      </c>
      <c r="AS81" s="196">
        <v>234.37</v>
      </c>
      <c r="AT81" s="196" t="s">
        <v>207</v>
      </c>
      <c r="AU81" s="196">
        <f t="shared" si="1"/>
        <v>1869.52</v>
      </c>
      <c r="AV81" s="199">
        <v>1.08</v>
      </c>
      <c r="AW81" s="173" t="s">
        <v>438</v>
      </c>
      <c r="AX81" s="173" t="s">
        <v>296</v>
      </c>
      <c r="AY81" s="196">
        <v>2</v>
      </c>
      <c r="AZ81" s="196" t="s">
        <v>440</v>
      </c>
    </row>
    <row r="82" spans="1:52" s="208" customFormat="1" ht="15" customHeight="1" x14ac:dyDescent="0.3">
      <c r="A82" s="114">
        <v>71</v>
      </c>
      <c r="B82" s="174" t="s">
        <v>649</v>
      </c>
      <c r="C82" s="173" t="s">
        <v>435</v>
      </c>
      <c r="D82" s="196" t="s">
        <v>288</v>
      </c>
      <c r="E82" s="196" t="s">
        <v>205</v>
      </c>
      <c r="F82" s="173" t="s">
        <v>447</v>
      </c>
      <c r="G82" s="197" t="s">
        <v>145</v>
      </c>
      <c r="H82" s="198" t="s">
        <v>146</v>
      </c>
      <c r="I82" s="199">
        <v>2</v>
      </c>
      <c r="J82" s="200" t="s">
        <v>437</v>
      </c>
      <c r="K82" s="201">
        <v>40</v>
      </c>
      <c r="L82" s="202">
        <v>7.93</v>
      </c>
      <c r="M82" s="200" t="s">
        <v>438</v>
      </c>
      <c r="N82" s="200" t="s">
        <v>218</v>
      </c>
      <c r="O82" s="200" t="s">
        <v>219</v>
      </c>
      <c r="P82" s="200" t="s">
        <v>218</v>
      </c>
      <c r="Q82" s="200" t="s">
        <v>219</v>
      </c>
      <c r="R82" s="200" t="s">
        <v>208</v>
      </c>
      <c r="S82" s="200" t="s">
        <v>219</v>
      </c>
      <c r="T82" s="200"/>
      <c r="U82" s="199">
        <v>2173.73</v>
      </c>
      <c r="V82" s="199">
        <v>2101.04</v>
      </c>
      <c r="W82" s="196">
        <v>313.89999999999998</v>
      </c>
      <c r="X82" s="196" t="s">
        <v>207</v>
      </c>
      <c r="Y82" s="196">
        <v>211.17</v>
      </c>
      <c r="Z82" s="196" t="s">
        <v>207</v>
      </c>
      <c r="AA82" s="196">
        <v>310.25</v>
      </c>
      <c r="AB82" s="196" t="s">
        <v>207</v>
      </c>
      <c r="AC82" s="196">
        <v>199.17</v>
      </c>
      <c r="AD82" s="196" t="s">
        <v>207</v>
      </c>
      <c r="AE82" s="196">
        <v>73.56</v>
      </c>
      <c r="AF82" s="196" t="s">
        <v>207</v>
      </c>
      <c r="AG82" s="196">
        <v>44.6</v>
      </c>
      <c r="AH82" s="196" t="s">
        <v>207</v>
      </c>
      <c r="AI82" s="196">
        <v>44.96</v>
      </c>
      <c r="AJ82" s="196" t="s">
        <v>207</v>
      </c>
      <c r="AK82" s="196">
        <v>45.29</v>
      </c>
      <c r="AL82" s="196" t="s">
        <v>207</v>
      </c>
      <c r="AM82" s="196">
        <v>55.41</v>
      </c>
      <c r="AN82" s="196" t="s">
        <v>207</v>
      </c>
      <c r="AO82" s="196">
        <v>188.76</v>
      </c>
      <c r="AP82" s="196" t="s">
        <v>207</v>
      </c>
      <c r="AQ82" s="196">
        <v>204.97</v>
      </c>
      <c r="AR82" s="196" t="s">
        <v>207</v>
      </c>
      <c r="AS82" s="196">
        <v>236.06</v>
      </c>
      <c r="AT82" s="196" t="s">
        <v>207</v>
      </c>
      <c r="AU82" s="196">
        <f t="shared" si="1"/>
        <v>1928.1</v>
      </c>
      <c r="AV82" s="199">
        <v>1.07</v>
      </c>
      <c r="AW82" s="173" t="s">
        <v>438</v>
      </c>
      <c r="AX82" s="173" t="s">
        <v>296</v>
      </c>
      <c r="AY82" s="196">
        <v>2</v>
      </c>
      <c r="AZ82" s="196" t="s">
        <v>440</v>
      </c>
    </row>
    <row r="83" spans="1:52" s="208" customFormat="1" ht="15" customHeight="1" x14ac:dyDescent="0.3">
      <c r="A83" s="73">
        <v>72</v>
      </c>
      <c r="B83" s="174" t="s">
        <v>650</v>
      </c>
      <c r="C83" s="140" t="s">
        <v>445</v>
      </c>
      <c r="D83" s="214" t="s">
        <v>288</v>
      </c>
      <c r="E83" s="214" t="s">
        <v>264</v>
      </c>
      <c r="F83" s="214" t="s">
        <v>459</v>
      </c>
      <c r="G83" s="197" t="s">
        <v>145</v>
      </c>
      <c r="H83" s="210" t="s">
        <v>146</v>
      </c>
      <c r="I83" s="214">
        <v>1</v>
      </c>
      <c r="J83" s="210" t="s">
        <v>446</v>
      </c>
      <c r="K83" s="210">
        <v>80</v>
      </c>
      <c r="L83" s="210">
        <v>7.93</v>
      </c>
      <c r="M83" s="210" t="s">
        <v>438</v>
      </c>
      <c r="N83" s="210" t="s">
        <v>218</v>
      </c>
      <c r="O83" s="210" t="s">
        <v>219</v>
      </c>
      <c r="P83" s="210" t="s">
        <v>218</v>
      </c>
      <c r="Q83" s="200" t="s">
        <v>219</v>
      </c>
      <c r="R83" s="210" t="s">
        <v>296</v>
      </c>
      <c r="S83" s="210" t="s">
        <v>219</v>
      </c>
      <c r="T83" s="210" t="s">
        <v>444</v>
      </c>
      <c r="U83" s="214">
        <v>4207.6099999999997</v>
      </c>
      <c r="V83" s="214">
        <v>4290.26</v>
      </c>
      <c r="W83" s="214">
        <v>685.37</v>
      </c>
      <c r="X83" s="219" t="s">
        <v>207</v>
      </c>
      <c r="Y83" s="214">
        <v>505.07</v>
      </c>
      <c r="Z83" s="219" t="s">
        <v>207</v>
      </c>
      <c r="AA83" s="214">
        <v>656.76</v>
      </c>
      <c r="AB83" s="219" t="s">
        <v>207</v>
      </c>
      <c r="AC83" s="214">
        <v>384.9</v>
      </c>
      <c r="AD83" s="219" t="s">
        <v>207</v>
      </c>
      <c r="AE83" s="214">
        <f>94.45+59.73</f>
        <v>154.18</v>
      </c>
      <c r="AF83" s="219" t="s">
        <v>207</v>
      </c>
      <c r="AG83" s="214">
        <v>89.35</v>
      </c>
      <c r="AH83" s="219" t="s">
        <v>207</v>
      </c>
      <c r="AI83" s="214">
        <v>82.72</v>
      </c>
      <c r="AJ83" s="219" t="s">
        <v>207</v>
      </c>
      <c r="AK83" s="214">
        <v>84.24</v>
      </c>
      <c r="AL83" s="219" t="s">
        <v>207</v>
      </c>
      <c r="AM83" s="214">
        <v>109.06</v>
      </c>
      <c r="AN83" s="219" t="s">
        <v>207</v>
      </c>
      <c r="AO83" s="214">
        <v>381.71</v>
      </c>
      <c r="AP83" s="219" t="s">
        <v>207</v>
      </c>
      <c r="AQ83" s="214">
        <v>437.17</v>
      </c>
      <c r="AR83" s="219" t="s">
        <v>207</v>
      </c>
      <c r="AS83" s="214">
        <v>446.01</v>
      </c>
      <c r="AT83" s="219" t="s">
        <v>207</v>
      </c>
      <c r="AU83" s="199">
        <f t="shared" si="1"/>
        <v>4016.5399999999991</v>
      </c>
      <c r="AV83" s="214">
        <f>1.2+0.76</f>
        <v>1.96</v>
      </c>
      <c r="AW83" s="140" t="str">
        <f>M83</f>
        <v>150/70</v>
      </c>
      <c r="AX83" s="140" t="str">
        <f>R83</f>
        <v>зависимая</v>
      </c>
      <c r="AY83" s="140">
        <f>I83</f>
        <v>1</v>
      </c>
      <c r="AZ83" s="140" t="s">
        <v>440</v>
      </c>
    </row>
    <row r="84" spans="1:52" s="208" customFormat="1" ht="15" customHeight="1" x14ac:dyDescent="0.3">
      <c r="A84" s="114">
        <v>73</v>
      </c>
      <c r="B84" s="174" t="s">
        <v>651</v>
      </c>
      <c r="C84" s="186" t="s">
        <v>445</v>
      </c>
      <c r="D84" s="213" t="s">
        <v>288</v>
      </c>
      <c r="E84" s="213" t="s">
        <v>264</v>
      </c>
      <c r="F84" s="186" t="s">
        <v>442</v>
      </c>
      <c r="G84" s="197" t="s">
        <v>145</v>
      </c>
      <c r="H84" s="210" t="s">
        <v>146</v>
      </c>
      <c r="I84" s="214">
        <v>1</v>
      </c>
      <c r="J84" s="215" t="s">
        <v>446</v>
      </c>
      <c r="K84" s="210">
        <v>40</v>
      </c>
      <c r="L84" s="215">
        <v>8.14</v>
      </c>
      <c r="M84" s="215" t="s">
        <v>438</v>
      </c>
      <c r="N84" s="215" t="s">
        <v>218</v>
      </c>
      <c r="O84" s="215" t="s">
        <v>219</v>
      </c>
      <c r="P84" s="215" t="s">
        <v>218</v>
      </c>
      <c r="Q84" s="200" t="s">
        <v>219</v>
      </c>
      <c r="R84" s="215" t="s">
        <v>296</v>
      </c>
      <c r="S84" s="215" t="s">
        <v>219</v>
      </c>
      <c r="T84" s="215" t="s">
        <v>444</v>
      </c>
      <c r="U84" s="220">
        <v>1343.55</v>
      </c>
      <c r="V84" s="220">
        <v>1365.88</v>
      </c>
      <c r="W84" s="213">
        <v>207.16</v>
      </c>
      <c r="X84" s="217" t="s">
        <v>207</v>
      </c>
      <c r="Y84" s="213">
        <v>158.46</v>
      </c>
      <c r="Z84" s="217" t="s">
        <v>207</v>
      </c>
      <c r="AA84" s="213">
        <f>84.6+43.8</f>
        <v>128.39999999999998</v>
      </c>
      <c r="AB84" s="217" t="s">
        <v>207</v>
      </c>
      <c r="AC84" s="213">
        <v>183.74</v>
      </c>
      <c r="AD84" s="217" t="s">
        <v>207</v>
      </c>
      <c r="AE84" s="213">
        <v>75.17</v>
      </c>
      <c r="AF84" s="217" t="s">
        <v>207</v>
      </c>
      <c r="AG84" s="213">
        <v>43.05</v>
      </c>
      <c r="AH84" s="217" t="s">
        <v>207</v>
      </c>
      <c r="AI84" s="213">
        <v>40.39</v>
      </c>
      <c r="AJ84" s="217" t="s">
        <v>207</v>
      </c>
      <c r="AK84" s="213">
        <v>43.16</v>
      </c>
      <c r="AL84" s="217" t="s">
        <v>207</v>
      </c>
      <c r="AM84" s="213">
        <v>48.12</v>
      </c>
      <c r="AN84" s="217" t="s">
        <v>207</v>
      </c>
      <c r="AO84" s="213">
        <v>153.9</v>
      </c>
      <c r="AP84" s="217" t="s">
        <v>207</v>
      </c>
      <c r="AQ84" s="213">
        <v>132.94999999999999</v>
      </c>
      <c r="AR84" s="217" t="s">
        <v>207</v>
      </c>
      <c r="AS84" s="213">
        <v>173.6</v>
      </c>
      <c r="AT84" s="217" t="s">
        <v>207</v>
      </c>
      <c r="AU84" s="196">
        <f t="shared" si="1"/>
        <v>1388.1</v>
      </c>
      <c r="AV84" s="214">
        <v>0.64</v>
      </c>
      <c r="AW84" s="186" t="str">
        <f>M84</f>
        <v>150/70</v>
      </c>
      <c r="AX84" s="186" t="str">
        <f>R84</f>
        <v>зависимая</v>
      </c>
      <c r="AY84" s="186">
        <f>I84</f>
        <v>1</v>
      </c>
      <c r="AZ84" s="186" t="s">
        <v>440</v>
      </c>
    </row>
    <row r="85" spans="1:52" s="208" customFormat="1" ht="15" customHeight="1" x14ac:dyDescent="0.3">
      <c r="A85" s="114">
        <v>74</v>
      </c>
      <c r="B85" s="174" t="s">
        <v>652</v>
      </c>
      <c r="C85" s="186" t="s">
        <v>445</v>
      </c>
      <c r="D85" s="213" t="s">
        <v>288</v>
      </c>
      <c r="E85" s="213" t="s">
        <v>264</v>
      </c>
      <c r="F85" s="186" t="s">
        <v>460</v>
      </c>
      <c r="G85" s="197" t="s">
        <v>145</v>
      </c>
      <c r="H85" s="210" t="s">
        <v>146</v>
      </c>
      <c r="I85" s="214">
        <v>1</v>
      </c>
      <c r="J85" s="215" t="s">
        <v>446</v>
      </c>
      <c r="K85" s="210">
        <v>80</v>
      </c>
      <c r="L85" s="215">
        <v>9.14</v>
      </c>
      <c r="M85" s="215" t="s">
        <v>438</v>
      </c>
      <c r="N85" s="215" t="s">
        <v>218</v>
      </c>
      <c r="O85" s="215" t="s">
        <v>219</v>
      </c>
      <c r="P85" s="215" t="s">
        <v>218</v>
      </c>
      <c r="Q85" s="200" t="s">
        <v>219</v>
      </c>
      <c r="R85" s="215" t="s">
        <v>296</v>
      </c>
      <c r="S85" s="215" t="s">
        <v>219</v>
      </c>
      <c r="T85" s="215" t="s">
        <v>444</v>
      </c>
      <c r="U85" s="214">
        <v>3085.02</v>
      </c>
      <c r="V85" s="214">
        <v>3033.32</v>
      </c>
      <c r="W85" s="213">
        <v>382.98</v>
      </c>
      <c r="X85" s="217" t="s">
        <v>207</v>
      </c>
      <c r="Y85" s="213">
        <v>319.2</v>
      </c>
      <c r="Z85" s="217" t="s">
        <v>207</v>
      </c>
      <c r="AA85" s="213">
        <v>372.13</v>
      </c>
      <c r="AB85" s="217" t="s">
        <v>207</v>
      </c>
      <c r="AC85" s="213">
        <v>235.14</v>
      </c>
      <c r="AD85" s="217" t="s">
        <v>207</v>
      </c>
      <c r="AE85" s="213">
        <f>73.74+41.05</f>
        <v>114.78999999999999</v>
      </c>
      <c r="AF85" s="217" t="s">
        <v>207</v>
      </c>
      <c r="AG85" s="213">
        <v>74.760000000000005</v>
      </c>
      <c r="AH85" s="217" t="s">
        <v>207</v>
      </c>
      <c r="AI85" s="213">
        <v>68.77</v>
      </c>
      <c r="AJ85" s="217" t="s">
        <v>207</v>
      </c>
      <c r="AK85" s="213">
        <v>67.05</v>
      </c>
      <c r="AL85" s="217" t="s">
        <v>207</v>
      </c>
      <c r="AM85" s="213">
        <v>88.4</v>
      </c>
      <c r="AN85" s="217" t="s">
        <v>207</v>
      </c>
      <c r="AO85" s="213">
        <v>251.16</v>
      </c>
      <c r="AP85" s="217" t="s">
        <v>207</v>
      </c>
      <c r="AQ85" s="213">
        <v>256.8</v>
      </c>
      <c r="AR85" s="217" t="s">
        <v>207</v>
      </c>
      <c r="AS85" s="213">
        <v>315.35000000000002</v>
      </c>
      <c r="AT85" s="217" t="s">
        <v>207</v>
      </c>
      <c r="AU85" s="196">
        <f t="shared" si="1"/>
        <v>2546.5299999999997</v>
      </c>
      <c r="AV85" s="214">
        <f>1.17+0.64</f>
        <v>1.81</v>
      </c>
      <c r="AW85" s="186" t="str">
        <f>M85</f>
        <v>150/70</v>
      </c>
      <c r="AX85" s="186" t="str">
        <f>R85</f>
        <v>зависимая</v>
      </c>
      <c r="AY85" s="186">
        <f>I85</f>
        <v>1</v>
      </c>
      <c r="AZ85" s="186" t="s">
        <v>440</v>
      </c>
    </row>
    <row r="86" spans="1:52" s="208" customFormat="1" ht="15" customHeight="1" x14ac:dyDescent="0.3">
      <c r="A86" s="114">
        <v>75</v>
      </c>
      <c r="B86" s="174" t="s">
        <v>653</v>
      </c>
      <c r="C86" s="173" t="s">
        <v>435</v>
      </c>
      <c r="D86" s="196" t="s">
        <v>288</v>
      </c>
      <c r="E86" s="196" t="s">
        <v>205</v>
      </c>
      <c r="F86" s="173" t="s">
        <v>447</v>
      </c>
      <c r="G86" s="197" t="s">
        <v>145</v>
      </c>
      <c r="H86" s="198" t="s">
        <v>146</v>
      </c>
      <c r="I86" s="199">
        <v>1</v>
      </c>
      <c r="J86" s="200" t="s">
        <v>437</v>
      </c>
      <c r="K86" s="201">
        <v>40</v>
      </c>
      <c r="L86" s="202"/>
      <c r="M86" s="200" t="s">
        <v>438</v>
      </c>
      <c r="N86" s="200" t="s">
        <v>218</v>
      </c>
      <c r="O86" s="200" t="s">
        <v>219</v>
      </c>
      <c r="P86" s="200" t="s">
        <v>218</v>
      </c>
      <c r="Q86" s="200" t="s">
        <v>219</v>
      </c>
      <c r="R86" s="200" t="s">
        <v>208</v>
      </c>
      <c r="S86" s="200" t="s">
        <v>219</v>
      </c>
      <c r="T86" s="200"/>
      <c r="U86" s="199">
        <v>2365.19</v>
      </c>
      <c r="V86" s="199">
        <v>2256.65</v>
      </c>
      <c r="W86" s="199">
        <v>209.66</v>
      </c>
      <c r="X86" s="199" t="s">
        <v>449</v>
      </c>
      <c r="Y86" s="199">
        <v>207.53</v>
      </c>
      <c r="Z86" s="199" t="s">
        <v>449</v>
      </c>
      <c r="AA86" s="199">
        <v>213.08</v>
      </c>
      <c r="AB86" s="199" t="s">
        <v>449</v>
      </c>
      <c r="AC86" s="199">
        <v>213</v>
      </c>
      <c r="AD86" s="199" t="s">
        <v>449</v>
      </c>
      <c r="AE86" s="199">
        <v>218.28</v>
      </c>
      <c r="AF86" s="199" t="s">
        <v>449</v>
      </c>
      <c r="AG86" s="199">
        <v>76.03</v>
      </c>
      <c r="AH86" s="199" t="s">
        <v>449</v>
      </c>
      <c r="AI86" s="196">
        <v>43.67</v>
      </c>
      <c r="AJ86" s="196" t="s">
        <v>207</v>
      </c>
      <c r="AK86" s="196">
        <v>51.15</v>
      </c>
      <c r="AL86" s="196" t="s">
        <v>207</v>
      </c>
      <c r="AM86" s="196">
        <v>56.61</v>
      </c>
      <c r="AN86" s="196" t="s">
        <v>207</v>
      </c>
      <c r="AO86" s="196">
        <v>183.24</v>
      </c>
      <c r="AP86" s="196" t="s">
        <v>207</v>
      </c>
      <c r="AQ86" s="196">
        <v>110.4</v>
      </c>
      <c r="AR86" s="196" t="s">
        <v>207</v>
      </c>
      <c r="AS86" s="196">
        <v>223.9</v>
      </c>
      <c r="AT86" s="196" t="s">
        <v>207</v>
      </c>
      <c r="AU86" s="196">
        <f t="shared" si="1"/>
        <v>1806.5500000000002</v>
      </c>
      <c r="AV86" s="199">
        <v>0.89</v>
      </c>
      <c r="AW86" s="196" t="s">
        <v>438</v>
      </c>
      <c r="AX86" s="173" t="s">
        <v>296</v>
      </c>
      <c r="AY86" s="196">
        <v>1</v>
      </c>
      <c r="AZ86" s="196" t="s">
        <v>440</v>
      </c>
    </row>
    <row r="87" spans="1:52" s="208" customFormat="1" ht="15" customHeight="1" x14ac:dyDescent="0.3">
      <c r="A87" s="73">
        <v>76</v>
      </c>
      <c r="B87" s="174" t="s">
        <v>654</v>
      </c>
      <c r="C87" s="186" t="s">
        <v>445</v>
      </c>
      <c r="D87" s="213" t="s">
        <v>288</v>
      </c>
      <c r="E87" s="213" t="s">
        <v>264</v>
      </c>
      <c r="F87" s="186" t="s">
        <v>442</v>
      </c>
      <c r="G87" s="197" t="s">
        <v>145</v>
      </c>
      <c r="H87" s="210" t="s">
        <v>146</v>
      </c>
      <c r="I87" s="214">
        <v>1</v>
      </c>
      <c r="J87" s="215" t="s">
        <v>446</v>
      </c>
      <c r="K87" s="210">
        <v>40</v>
      </c>
      <c r="L87" s="215">
        <v>8.14</v>
      </c>
      <c r="M87" s="215" t="s">
        <v>438</v>
      </c>
      <c r="N87" s="215" t="s">
        <v>218</v>
      </c>
      <c r="O87" s="215" t="s">
        <v>219</v>
      </c>
      <c r="P87" s="215" t="s">
        <v>218</v>
      </c>
      <c r="Q87" s="216" t="s">
        <v>219</v>
      </c>
      <c r="R87" s="215" t="s">
        <v>296</v>
      </c>
      <c r="S87" s="215" t="s">
        <v>219</v>
      </c>
      <c r="T87" s="186" t="s">
        <v>461</v>
      </c>
      <c r="U87" s="214">
        <v>814.3</v>
      </c>
      <c r="V87" s="214" t="s">
        <v>444</v>
      </c>
      <c r="W87" s="214" t="s">
        <v>444</v>
      </c>
      <c r="X87" s="217"/>
      <c r="Y87" s="214" t="s">
        <v>444</v>
      </c>
      <c r="Z87" s="217"/>
      <c r="AA87" s="214" t="s">
        <v>444</v>
      </c>
      <c r="AB87" s="217"/>
      <c r="AC87" s="214" t="s">
        <v>444</v>
      </c>
      <c r="AD87" s="217"/>
      <c r="AE87" s="214" t="s">
        <v>444</v>
      </c>
      <c r="AF87" s="217"/>
      <c r="AG87" s="214" t="s">
        <v>444</v>
      </c>
      <c r="AH87" s="217"/>
      <c r="AI87" s="214" t="s">
        <v>444</v>
      </c>
      <c r="AJ87" s="217"/>
      <c r="AK87" s="214" t="s">
        <v>444</v>
      </c>
      <c r="AL87" s="217"/>
      <c r="AM87" s="214" t="s">
        <v>444</v>
      </c>
      <c r="AN87" s="217"/>
      <c r="AO87" s="214" t="s">
        <v>444</v>
      </c>
      <c r="AP87" s="217"/>
      <c r="AQ87" s="213">
        <v>187.07</v>
      </c>
      <c r="AR87" s="217" t="s">
        <v>207</v>
      </c>
      <c r="AS87" s="213">
        <v>245.18</v>
      </c>
      <c r="AT87" s="217" t="s">
        <v>207</v>
      </c>
      <c r="AU87" s="196">
        <f t="shared" si="1"/>
        <v>432.25</v>
      </c>
      <c r="AV87" s="214">
        <v>0.85</v>
      </c>
      <c r="AW87" s="186" t="str">
        <f>M87</f>
        <v>150/70</v>
      </c>
      <c r="AX87" s="186" t="str">
        <f>R87</f>
        <v>зависимая</v>
      </c>
      <c r="AY87" s="186">
        <f>I87</f>
        <v>1</v>
      </c>
      <c r="AZ87" s="186" t="s">
        <v>440</v>
      </c>
    </row>
    <row r="88" spans="1:52" s="208" customFormat="1" ht="15" customHeight="1" x14ac:dyDescent="0.3">
      <c r="A88" s="114">
        <v>77</v>
      </c>
      <c r="B88" s="174" t="s">
        <v>655</v>
      </c>
      <c r="C88" s="173" t="s">
        <v>435</v>
      </c>
      <c r="D88" s="196" t="s">
        <v>288</v>
      </c>
      <c r="E88" s="196" t="s">
        <v>205</v>
      </c>
      <c r="F88" s="173" t="s">
        <v>447</v>
      </c>
      <c r="G88" s="197" t="s">
        <v>145</v>
      </c>
      <c r="H88" s="198" t="s">
        <v>146</v>
      </c>
      <c r="I88" s="199">
        <v>1</v>
      </c>
      <c r="J88" s="200" t="s">
        <v>437</v>
      </c>
      <c r="K88" s="201">
        <v>40</v>
      </c>
      <c r="L88" s="202">
        <v>8.14</v>
      </c>
      <c r="M88" s="200" t="s">
        <v>438</v>
      </c>
      <c r="N88" s="200" t="s">
        <v>218</v>
      </c>
      <c r="O88" s="200" t="s">
        <v>219</v>
      </c>
      <c r="P88" s="200" t="s">
        <v>218</v>
      </c>
      <c r="Q88" s="216" t="s">
        <v>219</v>
      </c>
      <c r="R88" s="200" t="s">
        <v>208</v>
      </c>
      <c r="S88" s="200" t="s">
        <v>219</v>
      </c>
      <c r="T88" s="200"/>
      <c r="U88" s="199">
        <v>1299.9000000000001</v>
      </c>
      <c r="V88" s="199">
        <v>1233.26</v>
      </c>
      <c r="W88" s="196">
        <v>188.06</v>
      </c>
      <c r="X88" s="196" t="s">
        <v>207</v>
      </c>
      <c r="Y88" s="196">
        <v>146.38</v>
      </c>
      <c r="Z88" s="196" t="s">
        <v>207</v>
      </c>
      <c r="AA88" s="196">
        <v>183.82</v>
      </c>
      <c r="AB88" s="196" t="s">
        <v>207</v>
      </c>
      <c r="AC88" s="196">
        <v>137.51</v>
      </c>
      <c r="AD88" s="196" t="s">
        <v>207</v>
      </c>
      <c r="AE88" s="196">
        <v>68.709999999999994</v>
      </c>
      <c r="AF88" s="196" t="s">
        <v>207</v>
      </c>
      <c r="AG88" s="196">
        <v>39.56</v>
      </c>
      <c r="AH88" s="196" t="s">
        <v>207</v>
      </c>
      <c r="AI88" s="196">
        <v>29.47</v>
      </c>
      <c r="AJ88" s="196" t="s">
        <v>207</v>
      </c>
      <c r="AK88" s="196">
        <v>40.94</v>
      </c>
      <c r="AL88" s="196" t="s">
        <v>207</v>
      </c>
      <c r="AM88" s="196">
        <v>46.43</v>
      </c>
      <c r="AN88" s="196" t="s">
        <v>207</v>
      </c>
      <c r="AO88" s="196">
        <v>124.73</v>
      </c>
      <c r="AP88" s="196" t="s">
        <v>207</v>
      </c>
      <c r="AQ88" s="196">
        <v>121.96</v>
      </c>
      <c r="AR88" s="196" t="s">
        <v>207</v>
      </c>
      <c r="AS88" s="196">
        <v>143.19999999999999</v>
      </c>
      <c r="AT88" s="196" t="s">
        <v>207</v>
      </c>
      <c r="AU88" s="196">
        <f t="shared" si="1"/>
        <v>1270.77</v>
      </c>
      <c r="AV88" s="199">
        <v>0.63</v>
      </c>
      <c r="AW88" s="173" t="s">
        <v>438</v>
      </c>
      <c r="AX88" s="173" t="s">
        <v>296</v>
      </c>
      <c r="AY88" s="196">
        <v>1</v>
      </c>
      <c r="AZ88" s="196" t="s">
        <v>440</v>
      </c>
    </row>
    <row r="89" spans="1:52" s="208" customFormat="1" ht="15" customHeight="1" x14ac:dyDescent="0.3">
      <c r="A89" s="114">
        <v>78</v>
      </c>
      <c r="B89" s="174" t="s">
        <v>656</v>
      </c>
      <c r="C89" s="173" t="s">
        <v>435</v>
      </c>
      <c r="D89" s="196" t="s">
        <v>288</v>
      </c>
      <c r="E89" s="196" t="s">
        <v>205</v>
      </c>
      <c r="F89" s="173" t="s">
        <v>447</v>
      </c>
      <c r="G89" s="197" t="s">
        <v>145</v>
      </c>
      <c r="H89" s="198" t="s">
        <v>146</v>
      </c>
      <c r="I89" s="199">
        <v>1</v>
      </c>
      <c r="J89" s="200" t="s">
        <v>437</v>
      </c>
      <c r="K89" s="201">
        <v>40</v>
      </c>
      <c r="L89" s="202">
        <v>8.14</v>
      </c>
      <c r="M89" s="200" t="s">
        <v>438</v>
      </c>
      <c r="N89" s="200" t="s">
        <v>218</v>
      </c>
      <c r="O89" s="200" t="s">
        <v>219</v>
      </c>
      <c r="P89" s="200" t="s">
        <v>218</v>
      </c>
      <c r="Q89" s="216" t="s">
        <v>219</v>
      </c>
      <c r="R89" s="200" t="s">
        <v>208</v>
      </c>
      <c r="S89" s="200" t="s">
        <v>219</v>
      </c>
      <c r="T89" s="200"/>
      <c r="U89" s="199">
        <v>1329.68</v>
      </c>
      <c r="V89" s="199">
        <v>1296.52</v>
      </c>
      <c r="W89" s="196">
        <v>200.5</v>
      </c>
      <c r="X89" s="196" t="s">
        <v>207</v>
      </c>
      <c r="Y89" s="196">
        <v>149.05000000000001</v>
      </c>
      <c r="Z89" s="196" t="s">
        <v>207</v>
      </c>
      <c r="AA89" s="196">
        <v>197.33</v>
      </c>
      <c r="AB89" s="196" t="s">
        <v>207</v>
      </c>
      <c r="AC89" s="196">
        <v>135.54</v>
      </c>
      <c r="AD89" s="196" t="s">
        <v>207</v>
      </c>
      <c r="AE89" s="196">
        <v>63</v>
      </c>
      <c r="AF89" s="196" t="s">
        <v>207</v>
      </c>
      <c r="AG89" s="196">
        <v>69.69</v>
      </c>
      <c r="AH89" s="196" t="s">
        <v>207</v>
      </c>
      <c r="AI89" s="196">
        <v>22.42</v>
      </c>
      <c r="AJ89" s="196" t="s">
        <v>207</v>
      </c>
      <c r="AK89" s="196">
        <v>40.130000000000003</v>
      </c>
      <c r="AL89" s="196" t="s">
        <v>207</v>
      </c>
      <c r="AM89" s="196">
        <v>47</v>
      </c>
      <c r="AN89" s="196" t="s">
        <v>207</v>
      </c>
      <c r="AO89" s="196">
        <v>141.79</v>
      </c>
      <c r="AP89" s="196" t="s">
        <v>207</v>
      </c>
      <c r="AQ89" s="196">
        <v>125.75</v>
      </c>
      <c r="AR89" s="196" t="s">
        <v>207</v>
      </c>
      <c r="AS89" s="196">
        <v>147.6</v>
      </c>
      <c r="AT89" s="196" t="s">
        <v>207</v>
      </c>
      <c r="AU89" s="196">
        <f t="shared" si="1"/>
        <v>1339.7999999999997</v>
      </c>
      <c r="AV89" s="199">
        <v>0.64</v>
      </c>
      <c r="AW89" s="173" t="s">
        <v>438</v>
      </c>
      <c r="AX89" s="173" t="s">
        <v>296</v>
      </c>
      <c r="AY89" s="196">
        <v>1</v>
      </c>
      <c r="AZ89" s="196" t="s">
        <v>440</v>
      </c>
    </row>
    <row r="90" spans="1:52" s="208" customFormat="1" ht="15" customHeight="1" x14ac:dyDescent="0.3">
      <c r="A90" s="114">
        <v>79</v>
      </c>
      <c r="B90" s="174" t="s">
        <v>657</v>
      </c>
      <c r="C90" s="173" t="s">
        <v>435</v>
      </c>
      <c r="D90" s="196" t="s">
        <v>288</v>
      </c>
      <c r="E90" s="196" t="s">
        <v>205</v>
      </c>
      <c r="F90" s="173" t="s">
        <v>447</v>
      </c>
      <c r="G90" s="197" t="s">
        <v>145</v>
      </c>
      <c r="H90" s="198" t="s">
        <v>146</v>
      </c>
      <c r="I90" s="199">
        <v>1</v>
      </c>
      <c r="J90" s="200" t="s">
        <v>437</v>
      </c>
      <c r="K90" s="201">
        <v>65</v>
      </c>
      <c r="L90" s="202">
        <v>8.14</v>
      </c>
      <c r="M90" s="200" t="s">
        <v>438</v>
      </c>
      <c r="N90" s="200" t="s">
        <v>218</v>
      </c>
      <c r="O90" s="200" t="s">
        <v>219</v>
      </c>
      <c r="P90" s="200" t="s">
        <v>218</v>
      </c>
      <c r="Q90" s="216" t="s">
        <v>219</v>
      </c>
      <c r="R90" s="200" t="s">
        <v>208</v>
      </c>
      <c r="S90" s="200" t="s">
        <v>219</v>
      </c>
      <c r="T90" s="173" t="s">
        <v>462</v>
      </c>
      <c r="U90" s="199">
        <v>4756.29</v>
      </c>
      <c r="V90" s="199">
        <f>2001.14+1344.06+1316.2</f>
        <v>4661.3999999999996</v>
      </c>
      <c r="W90" s="196">
        <v>751.55</v>
      </c>
      <c r="X90" s="196" t="s">
        <v>207</v>
      </c>
      <c r="Y90" s="196">
        <v>566.38</v>
      </c>
      <c r="Z90" s="196" t="s">
        <v>207</v>
      </c>
      <c r="AA90" s="196">
        <v>724.89</v>
      </c>
      <c r="AB90" s="196" t="s">
        <v>207</v>
      </c>
      <c r="AC90" s="196">
        <v>457.75</v>
      </c>
      <c r="AD90" s="196" t="s">
        <v>207</v>
      </c>
      <c r="AE90" s="196">
        <v>208.91</v>
      </c>
      <c r="AF90" s="196" t="s">
        <v>207</v>
      </c>
      <c r="AG90" s="196">
        <v>116.25</v>
      </c>
      <c r="AH90" s="196" t="s">
        <v>207</v>
      </c>
      <c r="AI90" s="196">
        <v>103.1</v>
      </c>
      <c r="AJ90" s="196" t="s">
        <v>207</v>
      </c>
      <c r="AK90" s="196">
        <v>105.52</v>
      </c>
      <c r="AL90" s="196" t="s">
        <v>207</v>
      </c>
      <c r="AM90" s="196">
        <v>141.99</v>
      </c>
      <c r="AN90" s="196" t="s">
        <v>207</v>
      </c>
      <c r="AO90" s="196">
        <v>507.26</v>
      </c>
      <c r="AP90" s="196" t="s">
        <v>207</v>
      </c>
      <c r="AQ90" s="196">
        <v>450.65</v>
      </c>
      <c r="AR90" s="196" t="s">
        <v>207</v>
      </c>
      <c r="AS90" s="196">
        <v>583.88</v>
      </c>
      <c r="AT90" s="196" t="s">
        <v>207</v>
      </c>
      <c r="AU90" s="196">
        <f t="shared" si="1"/>
        <v>4718.1299999999992</v>
      </c>
      <c r="AV90" s="199">
        <v>2.84</v>
      </c>
      <c r="AW90" s="173" t="s">
        <v>438</v>
      </c>
      <c r="AX90" s="173" t="s">
        <v>296</v>
      </c>
      <c r="AY90" s="196">
        <v>1</v>
      </c>
      <c r="AZ90" s="196" t="s">
        <v>440</v>
      </c>
    </row>
    <row r="91" spans="1:52" s="208" customFormat="1" ht="15" customHeight="1" x14ac:dyDescent="0.3">
      <c r="A91" s="73">
        <v>80</v>
      </c>
      <c r="B91" s="174" t="s">
        <v>658</v>
      </c>
      <c r="C91" s="173" t="s">
        <v>435</v>
      </c>
      <c r="D91" s="196" t="s">
        <v>288</v>
      </c>
      <c r="E91" s="196" t="s">
        <v>205</v>
      </c>
      <c r="F91" s="173" t="s">
        <v>447</v>
      </c>
      <c r="G91" s="197" t="s">
        <v>145</v>
      </c>
      <c r="H91" s="198" t="s">
        <v>146</v>
      </c>
      <c r="I91" s="199">
        <v>1</v>
      </c>
      <c r="J91" s="200" t="s">
        <v>437</v>
      </c>
      <c r="K91" s="201">
        <v>40</v>
      </c>
      <c r="L91" s="202">
        <v>8.14</v>
      </c>
      <c r="M91" s="200" t="s">
        <v>438</v>
      </c>
      <c r="N91" s="200" t="s">
        <v>218</v>
      </c>
      <c r="O91" s="200" t="s">
        <v>219</v>
      </c>
      <c r="P91" s="200" t="s">
        <v>218</v>
      </c>
      <c r="Q91" s="216" t="s">
        <v>219</v>
      </c>
      <c r="R91" s="200" t="s">
        <v>208</v>
      </c>
      <c r="S91" s="200" t="s">
        <v>219</v>
      </c>
      <c r="T91" s="200"/>
      <c r="U91" s="199">
        <v>2067.39</v>
      </c>
      <c r="V91" s="199">
        <v>2025.26</v>
      </c>
      <c r="W91" s="196">
        <v>299.82</v>
      </c>
      <c r="X91" s="196" t="s">
        <v>207</v>
      </c>
      <c r="Y91" s="196">
        <v>209.15</v>
      </c>
      <c r="Z91" s="196" t="s">
        <v>207</v>
      </c>
      <c r="AA91" s="196">
        <v>273.27</v>
      </c>
      <c r="AB91" s="196" t="s">
        <v>207</v>
      </c>
      <c r="AC91" s="196">
        <v>188.29</v>
      </c>
      <c r="AD91" s="196" t="s">
        <v>207</v>
      </c>
      <c r="AE91" s="196">
        <v>91.91</v>
      </c>
      <c r="AF91" s="196" t="s">
        <v>207</v>
      </c>
      <c r="AG91" s="196">
        <v>69.790000000000006</v>
      </c>
      <c r="AH91" s="196" t="s">
        <v>207</v>
      </c>
      <c r="AI91" s="196">
        <v>45.45</v>
      </c>
      <c r="AJ91" s="196" t="s">
        <v>207</v>
      </c>
      <c r="AK91" s="196">
        <v>54.88</v>
      </c>
      <c r="AL91" s="196" t="s">
        <v>207</v>
      </c>
      <c r="AM91" s="196">
        <v>65.760000000000005</v>
      </c>
      <c r="AN91" s="196" t="s">
        <v>207</v>
      </c>
      <c r="AO91" s="196">
        <v>204.36</v>
      </c>
      <c r="AP91" s="196" t="s">
        <v>207</v>
      </c>
      <c r="AQ91" s="196">
        <v>169.88</v>
      </c>
      <c r="AR91" s="196" t="s">
        <v>207</v>
      </c>
      <c r="AS91" s="196">
        <v>242.3</v>
      </c>
      <c r="AT91" s="196" t="s">
        <v>207</v>
      </c>
      <c r="AU91" s="196">
        <f t="shared" si="1"/>
        <v>1914.8600000000004</v>
      </c>
      <c r="AV91" s="199">
        <v>0.88</v>
      </c>
      <c r="AW91" s="173" t="s">
        <v>438</v>
      </c>
      <c r="AX91" s="173" t="s">
        <v>296</v>
      </c>
      <c r="AY91" s="196">
        <v>1</v>
      </c>
      <c r="AZ91" s="196" t="s">
        <v>440</v>
      </c>
    </row>
    <row r="92" spans="1:52" s="208" customFormat="1" ht="15" customHeight="1" x14ac:dyDescent="0.3">
      <c r="A92" s="114">
        <v>81</v>
      </c>
      <c r="B92" s="174" t="s">
        <v>659</v>
      </c>
      <c r="C92" s="173" t="s">
        <v>435</v>
      </c>
      <c r="D92" s="196" t="s">
        <v>288</v>
      </c>
      <c r="E92" s="196" t="s">
        <v>205</v>
      </c>
      <c r="F92" s="173" t="s">
        <v>463</v>
      </c>
      <c r="G92" s="197" t="s">
        <v>145</v>
      </c>
      <c r="H92" s="198" t="s">
        <v>146</v>
      </c>
      <c r="I92" s="199">
        <v>2</v>
      </c>
      <c r="J92" s="200" t="s">
        <v>437</v>
      </c>
      <c r="K92" s="201">
        <v>50</v>
      </c>
      <c r="L92" s="202"/>
      <c r="M92" s="200" t="s">
        <v>438</v>
      </c>
      <c r="N92" s="200" t="s">
        <v>218</v>
      </c>
      <c r="O92" s="200" t="s">
        <v>219</v>
      </c>
      <c r="P92" s="200" t="s">
        <v>218</v>
      </c>
      <c r="Q92" s="216" t="s">
        <v>219</v>
      </c>
      <c r="R92" s="200" t="s">
        <v>208</v>
      </c>
      <c r="S92" s="200" t="s">
        <v>219</v>
      </c>
      <c r="T92" s="200"/>
      <c r="U92" s="199">
        <v>3160.08</v>
      </c>
      <c r="V92" s="199">
        <v>2918.84</v>
      </c>
      <c r="W92" s="199">
        <v>507.41</v>
      </c>
      <c r="X92" s="199" t="s">
        <v>207</v>
      </c>
      <c r="Y92" s="199">
        <v>374.98</v>
      </c>
      <c r="Z92" s="199" t="s">
        <v>207</v>
      </c>
      <c r="AA92" s="199">
        <v>464.52</v>
      </c>
      <c r="AB92" s="199" t="s">
        <v>207</v>
      </c>
      <c r="AC92" s="199">
        <v>319.22000000000003</v>
      </c>
      <c r="AD92" s="199" t="s">
        <v>207</v>
      </c>
      <c r="AE92" s="199">
        <v>140.27000000000001</v>
      </c>
      <c r="AF92" s="199" t="s">
        <v>207</v>
      </c>
      <c r="AG92" s="199">
        <v>83.44</v>
      </c>
      <c r="AH92" s="199" t="s">
        <v>207</v>
      </c>
      <c r="AI92" s="199">
        <v>75.62</v>
      </c>
      <c r="AJ92" s="199" t="s">
        <v>207</v>
      </c>
      <c r="AK92" s="199">
        <v>75.7</v>
      </c>
      <c r="AL92" s="199" t="s">
        <v>207</v>
      </c>
      <c r="AM92" s="199">
        <v>86.51</v>
      </c>
      <c r="AN92" s="199" t="s">
        <v>207</v>
      </c>
      <c r="AO92" s="199">
        <v>307.19</v>
      </c>
      <c r="AP92" s="199" t="s">
        <v>207</v>
      </c>
      <c r="AQ92" s="199">
        <v>285.17</v>
      </c>
      <c r="AR92" s="199" t="s">
        <v>207</v>
      </c>
      <c r="AS92" s="199">
        <v>371.85</v>
      </c>
      <c r="AT92" s="199" t="s">
        <v>207</v>
      </c>
      <c r="AU92" s="196">
        <f t="shared" si="1"/>
        <v>3091.88</v>
      </c>
      <c r="AV92" s="199">
        <f>0.47+0.36+0.47+0.36</f>
        <v>1.6599999999999997</v>
      </c>
      <c r="AW92" s="196" t="s">
        <v>438</v>
      </c>
      <c r="AX92" s="173" t="s">
        <v>296</v>
      </c>
      <c r="AY92" s="196">
        <v>2</v>
      </c>
      <c r="AZ92" s="196" t="s">
        <v>440</v>
      </c>
    </row>
    <row r="93" spans="1:52" s="208" customFormat="1" ht="15" customHeight="1" x14ac:dyDescent="0.3">
      <c r="A93" s="114">
        <v>82</v>
      </c>
      <c r="B93" s="174" t="s">
        <v>660</v>
      </c>
      <c r="C93" s="186" t="s">
        <v>445</v>
      </c>
      <c r="D93" s="213" t="s">
        <v>288</v>
      </c>
      <c r="E93" s="213" t="s">
        <v>264</v>
      </c>
      <c r="F93" s="186" t="s">
        <v>442</v>
      </c>
      <c r="G93" s="197" t="s">
        <v>145</v>
      </c>
      <c r="H93" s="210" t="s">
        <v>146</v>
      </c>
      <c r="I93" s="214">
        <v>4</v>
      </c>
      <c r="J93" s="215" t="s">
        <v>446</v>
      </c>
      <c r="K93" s="215">
        <v>65</v>
      </c>
      <c r="L93" s="215">
        <v>9.11</v>
      </c>
      <c r="M93" s="215" t="s">
        <v>438</v>
      </c>
      <c r="N93" s="215" t="s">
        <v>218</v>
      </c>
      <c r="O93" s="215" t="s">
        <v>219</v>
      </c>
      <c r="P93" s="215" t="s">
        <v>218</v>
      </c>
      <c r="Q93" s="216" t="s">
        <v>219</v>
      </c>
      <c r="R93" s="215" t="s">
        <v>296</v>
      </c>
      <c r="S93" s="215" t="s">
        <v>219</v>
      </c>
      <c r="T93" s="215" t="s">
        <v>444</v>
      </c>
      <c r="U93" s="214">
        <v>9584</v>
      </c>
      <c r="V93" s="214">
        <v>8787.0400000000009</v>
      </c>
      <c r="W93" s="213">
        <v>1502.74</v>
      </c>
      <c r="X93" s="217" t="s">
        <v>207</v>
      </c>
      <c r="Y93" s="213">
        <v>1048.79</v>
      </c>
      <c r="Z93" s="217" t="s">
        <v>207</v>
      </c>
      <c r="AA93" s="213">
        <v>1372.85</v>
      </c>
      <c r="AB93" s="217" t="s">
        <v>207</v>
      </c>
      <c r="AC93" s="213">
        <v>870.58</v>
      </c>
      <c r="AD93" s="217" t="s">
        <v>207</v>
      </c>
      <c r="AE93" s="213">
        <v>401.16</v>
      </c>
      <c r="AF93" s="217" t="s">
        <v>207</v>
      </c>
      <c r="AG93" s="213">
        <v>225.34</v>
      </c>
      <c r="AH93" s="217" t="s">
        <v>207</v>
      </c>
      <c r="AI93" s="213">
        <v>209.41</v>
      </c>
      <c r="AJ93" s="217" t="s">
        <v>207</v>
      </c>
      <c r="AK93" s="213">
        <v>216.88</v>
      </c>
      <c r="AL93" s="217" t="s">
        <v>207</v>
      </c>
      <c r="AM93" s="213">
        <v>267.33999999999997</v>
      </c>
      <c r="AN93" s="217" t="s">
        <v>207</v>
      </c>
      <c r="AO93" s="213">
        <v>949.56</v>
      </c>
      <c r="AP93" s="217" t="s">
        <v>207</v>
      </c>
      <c r="AQ93" s="213">
        <v>815.69</v>
      </c>
      <c r="AR93" s="217" t="s">
        <v>207</v>
      </c>
      <c r="AS93" s="213">
        <v>1110.06</v>
      </c>
      <c r="AT93" s="217" t="s">
        <v>207</v>
      </c>
      <c r="AU93" s="196">
        <f t="shared" si="1"/>
        <v>8990.4</v>
      </c>
      <c r="AV93" s="214">
        <v>5.32</v>
      </c>
      <c r="AW93" s="186" t="str">
        <f>M93</f>
        <v>150/70</v>
      </c>
      <c r="AX93" s="186" t="str">
        <f>R93</f>
        <v>зависимая</v>
      </c>
      <c r="AY93" s="186">
        <f>I93</f>
        <v>4</v>
      </c>
      <c r="AZ93" s="186" t="s">
        <v>440</v>
      </c>
    </row>
    <row r="94" spans="1:52" s="208" customFormat="1" ht="15" customHeight="1" x14ac:dyDescent="0.3">
      <c r="A94" s="114">
        <v>83</v>
      </c>
      <c r="B94" s="174" t="s">
        <v>661</v>
      </c>
      <c r="C94" s="186" t="s">
        <v>445</v>
      </c>
      <c r="D94" s="213" t="s">
        <v>204</v>
      </c>
      <c r="E94" s="213" t="s">
        <v>250</v>
      </c>
      <c r="F94" s="186" t="s">
        <v>442</v>
      </c>
      <c r="G94" s="197" t="s">
        <v>145</v>
      </c>
      <c r="H94" s="210" t="s">
        <v>146</v>
      </c>
      <c r="I94" s="214">
        <v>2</v>
      </c>
      <c r="J94" s="215" t="s">
        <v>450</v>
      </c>
      <c r="K94" s="215">
        <v>80</v>
      </c>
      <c r="L94" s="215">
        <v>10.06</v>
      </c>
      <c r="M94" s="215" t="s">
        <v>452</v>
      </c>
      <c r="N94" s="215" t="s">
        <v>218</v>
      </c>
      <c r="O94" s="215" t="s">
        <v>219</v>
      </c>
      <c r="P94" s="215" t="s">
        <v>218</v>
      </c>
      <c r="Q94" s="216" t="s">
        <v>219</v>
      </c>
      <c r="R94" s="215" t="s">
        <v>296</v>
      </c>
      <c r="S94" s="215" t="s">
        <v>219</v>
      </c>
      <c r="T94" s="186" t="s">
        <v>464</v>
      </c>
      <c r="U94" s="214">
        <v>754.03</v>
      </c>
      <c r="V94" s="214">
        <v>2408.59</v>
      </c>
      <c r="W94" s="213">
        <v>139.24</v>
      </c>
      <c r="X94" s="217" t="s">
        <v>449</v>
      </c>
      <c r="Y94" s="213">
        <v>138.86000000000001</v>
      </c>
      <c r="Z94" s="217" t="s">
        <v>449</v>
      </c>
      <c r="AA94" s="213">
        <v>138.86000000000001</v>
      </c>
      <c r="AB94" s="217" t="s">
        <v>449</v>
      </c>
      <c r="AC94" s="213">
        <v>138.86000000000001</v>
      </c>
      <c r="AD94" s="217" t="s">
        <v>449</v>
      </c>
      <c r="AE94" s="213">
        <v>138.86000000000001</v>
      </c>
      <c r="AF94" s="217" t="s">
        <v>449</v>
      </c>
      <c r="AG94" s="213">
        <v>23.57</v>
      </c>
      <c r="AH94" s="217" t="s">
        <v>449</v>
      </c>
      <c r="AI94" s="213">
        <v>23.57</v>
      </c>
      <c r="AJ94" s="217" t="s">
        <v>449</v>
      </c>
      <c r="AK94" s="213">
        <v>23.57</v>
      </c>
      <c r="AL94" s="217" t="s">
        <v>449</v>
      </c>
      <c r="AM94" s="213">
        <v>28.14</v>
      </c>
      <c r="AN94" s="217" t="s">
        <v>207</v>
      </c>
      <c r="AO94" s="213">
        <v>81.53</v>
      </c>
      <c r="AP94" s="217" t="s">
        <v>207</v>
      </c>
      <c r="AQ94" s="213">
        <v>80.14</v>
      </c>
      <c r="AR94" s="217" t="s">
        <v>207</v>
      </c>
      <c r="AS94" s="213">
        <v>103.46</v>
      </c>
      <c r="AT94" s="217" t="s">
        <v>207</v>
      </c>
      <c r="AU94" s="196">
        <f t="shared" si="1"/>
        <v>1058.6600000000001</v>
      </c>
      <c r="AV94" s="214">
        <f>1.38+0.77</f>
        <v>2.15</v>
      </c>
      <c r="AW94" s="186" t="str">
        <f>M94</f>
        <v>150/75</v>
      </c>
      <c r="AX94" s="186" t="str">
        <f>R94</f>
        <v>зависимая</v>
      </c>
      <c r="AY94" s="186">
        <v>1</v>
      </c>
      <c r="AZ94" s="186" t="s">
        <v>327</v>
      </c>
    </row>
    <row r="95" spans="1:52" s="208" customFormat="1" ht="15" customHeight="1" x14ac:dyDescent="0.3">
      <c r="A95" s="73">
        <v>84</v>
      </c>
      <c r="B95" s="174" t="s">
        <v>662</v>
      </c>
      <c r="C95" s="173" t="s">
        <v>435</v>
      </c>
      <c r="D95" s="196" t="s">
        <v>204</v>
      </c>
      <c r="E95" s="196" t="s">
        <v>289</v>
      </c>
      <c r="F95" s="173" t="s">
        <v>447</v>
      </c>
      <c r="G95" s="197" t="s">
        <v>145</v>
      </c>
      <c r="H95" s="198" t="s">
        <v>146</v>
      </c>
      <c r="I95" s="199">
        <v>5</v>
      </c>
      <c r="J95" s="200" t="s">
        <v>451</v>
      </c>
      <c r="K95" s="201">
        <v>50</v>
      </c>
      <c r="L95" s="202"/>
      <c r="M95" s="200" t="s">
        <v>438</v>
      </c>
      <c r="N95" s="200" t="s">
        <v>218</v>
      </c>
      <c r="O95" s="200" t="s">
        <v>219</v>
      </c>
      <c r="P95" s="200" t="s">
        <v>218</v>
      </c>
      <c r="Q95" s="200" t="s">
        <v>219</v>
      </c>
      <c r="R95" s="200" t="s">
        <v>208</v>
      </c>
      <c r="S95" s="200" t="s">
        <v>219</v>
      </c>
      <c r="T95" s="173" t="s">
        <v>465</v>
      </c>
      <c r="U95" s="199">
        <v>5770.71</v>
      </c>
      <c r="V95" s="199">
        <f>3760.57+1074.39</f>
        <v>4834.96</v>
      </c>
      <c r="W95" s="199">
        <v>863.29</v>
      </c>
      <c r="X95" s="199" t="s">
        <v>207</v>
      </c>
      <c r="Y95" s="196">
        <v>600.85</v>
      </c>
      <c r="Z95" s="196" t="s">
        <v>207</v>
      </c>
      <c r="AA95" s="196">
        <v>822.18</v>
      </c>
      <c r="AB95" s="196" t="s">
        <v>207</v>
      </c>
      <c r="AC95" s="196">
        <v>482.41</v>
      </c>
      <c r="AD95" s="196" t="s">
        <v>207</v>
      </c>
      <c r="AE95" s="196">
        <v>184.55</v>
      </c>
      <c r="AF95" s="196" t="s">
        <v>207</v>
      </c>
      <c r="AG95" s="196">
        <v>95.83</v>
      </c>
      <c r="AH95" s="196" t="s">
        <v>207</v>
      </c>
      <c r="AI95" s="196">
        <v>79.16</v>
      </c>
      <c r="AJ95" s="196" t="s">
        <v>207</v>
      </c>
      <c r="AK95" s="196">
        <v>93.44</v>
      </c>
      <c r="AL95" s="196" t="s">
        <v>207</v>
      </c>
      <c r="AM95" s="196">
        <v>120.69</v>
      </c>
      <c r="AN95" s="196" t="s">
        <v>207</v>
      </c>
      <c r="AO95" s="196">
        <v>525.83000000000004</v>
      </c>
      <c r="AP95" s="196" t="s">
        <v>207</v>
      </c>
      <c r="AQ95" s="196">
        <v>431.63</v>
      </c>
      <c r="AR95" s="196" t="s">
        <v>207</v>
      </c>
      <c r="AS95" s="196">
        <v>591.6</v>
      </c>
      <c r="AT95" s="196" t="s">
        <v>207</v>
      </c>
      <c r="AU95" s="196">
        <f t="shared" si="1"/>
        <v>4891.46</v>
      </c>
      <c r="AV95" s="199"/>
      <c r="AW95" s="196" t="s">
        <v>438</v>
      </c>
      <c r="AX95" s="173" t="s">
        <v>296</v>
      </c>
      <c r="AY95" s="196">
        <v>4</v>
      </c>
      <c r="AZ95" s="196" t="s">
        <v>440</v>
      </c>
    </row>
    <row r="96" spans="1:52" s="208" customFormat="1" ht="15" customHeight="1" x14ac:dyDescent="0.3">
      <c r="A96" s="114">
        <v>85</v>
      </c>
      <c r="B96" s="174" t="s">
        <v>663</v>
      </c>
      <c r="C96" s="186" t="s">
        <v>445</v>
      </c>
      <c r="D96" s="213" t="s">
        <v>204</v>
      </c>
      <c r="E96" s="213" t="s">
        <v>250</v>
      </c>
      <c r="F96" s="186" t="s">
        <v>442</v>
      </c>
      <c r="G96" s="197" t="s">
        <v>145</v>
      </c>
      <c r="H96" s="210" t="s">
        <v>146</v>
      </c>
      <c r="I96" s="214">
        <v>5</v>
      </c>
      <c r="J96" s="215" t="s">
        <v>450</v>
      </c>
      <c r="K96" s="215">
        <v>32</v>
      </c>
      <c r="L96" s="215">
        <v>8.77</v>
      </c>
      <c r="M96" s="215" t="s">
        <v>438</v>
      </c>
      <c r="N96" s="215" t="s">
        <v>218</v>
      </c>
      <c r="O96" s="215" t="s">
        <v>219</v>
      </c>
      <c r="P96" s="215" t="s">
        <v>218</v>
      </c>
      <c r="Q96" s="216" t="s">
        <v>219</v>
      </c>
      <c r="R96" s="215" t="s">
        <v>296</v>
      </c>
      <c r="S96" s="215" t="s">
        <v>219</v>
      </c>
      <c r="T96" s="215" t="s">
        <v>444</v>
      </c>
      <c r="U96" s="214">
        <v>7503.55</v>
      </c>
      <c r="V96" s="214">
        <v>7641.16</v>
      </c>
      <c r="W96" s="213">
        <v>1233.26</v>
      </c>
      <c r="X96" s="217" t="s">
        <v>207</v>
      </c>
      <c r="Y96" s="213">
        <v>791.39</v>
      </c>
      <c r="Z96" s="217" t="s">
        <v>207</v>
      </c>
      <c r="AA96" s="213">
        <v>1177.3800000000001</v>
      </c>
      <c r="AB96" s="217" t="s">
        <v>207</v>
      </c>
      <c r="AC96" s="213">
        <v>717.8</v>
      </c>
      <c r="AD96" s="217" t="s">
        <v>207</v>
      </c>
      <c r="AE96" s="213">
        <v>241.1</v>
      </c>
      <c r="AF96" s="217" t="s">
        <v>207</v>
      </c>
      <c r="AG96" s="213">
        <v>163.80000000000001</v>
      </c>
      <c r="AH96" s="217" t="s">
        <v>207</v>
      </c>
      <c r="AI96" s="213">
        <v>139.57</v>
      </c>
      <c r="AJ96" s="217" t="s">
        <v>207</v>
      </c>
      <c r="AK96" s="213">
        <v>151.94</v>
      </c>
      <c r="AL96" s="217" t="s">
        <v>207</v>
      </c>
      <c r="AM96" s="213">
        <v>190.82</v>
      </c>
      <c r="AN96" s="217" t="s">
        <v>207</v>
      </c>
      <c r="AO96" s="213">
        <v>804.44</v>
      </c>
      <c r="AP96" s="217" t="s">
        <v>207</v>
      </c>
      <c r="AQ96" s="213">
        <v>686.36</v>
      </c>
      <c r="AR96" s="217" t="s">
        <v>207</v>
      </c>
      <c r="AS96" s="213">
        <v>914.54</v>
      </c>
      <c r="AT96" s="217" t="s">
        <v>207</v>
      </c>
      <c r="AU96" s="196">
        <f t="shared" si="1"/>
        <v>7212.4</v>
      </c>
      <c r="AV96" s="214">
        <v>3.48</v>
      </c>
      <c r="AW96" s="186" t="str">
        <f>M96</f>
        <v>150/70</v>
      </c>
      <c r="AX96" s="186" t="str">
        <f>R96</f>
        <v>зависимая</v>
      </c>
      <c r="AY96" s="186">
        <v>4</v>
      </c>
      <c r="AZ96" s="186" t="s">
        <v>440</v>
      </c>
    </row>
    <row r="97" spans="1:52" s="208" customFormat="1" ht="15" customHeight="1" x14ac:dyDescent="0.3">
      <c r="A97" s="114">
        <v>86</v>
      </c>
      <c r="B97" s="174" t="s">
        <v>664</v>
      </c>
      <c r="C97" s="173" t="s">
        <v>435</v>
      </c>
      <c r="D97" s="196" t="s">
        <v>288</v>
      </c>
      <c r="E97" s="196" t="s">
        <v>205</v>
      </c>
      <c r="F97" s="173" t="s">
        <v>447</v>
      </c>
      <c r="G97" s="197" t="s">
        <v>145</v>
      </c>
      <c r="H97" s="198" t="s">
        <v>146</v>
      </c>
      <c r="I97" s="199">
        <v>3</v>
      </c>
      <c r="J97" s="200" t="s">
        <v>437</v>
      </c>
      <c r="K97" s="201">
        <v>50</v>
      </c>
      <c r="L97" s="202"/>
      <c r="M97" s="200" t="s">
        <v>438</v>
      </c>
      <c r="N97" s="200" t="s">
        <v>218</v>
      </c>
      <c r="O97" s="200" t="s">
        <v>219</v>
      </c>
      <c r="P97" s="200" t="s">
        <v>218</v>
      </c>
      <c r="Q97" s="200" t="s">
        <v>219</v>
      </c>
      <c r="R97" s="200" t="s">
        <v>208</v>
      </c>
      <c r="S97" s="200" t="s">
        <v>219</v>
      </c>
      <c r="T97" s="200"/>
      <c r="U97" s="199">
        <v>4526.7700000000004</v>
      </c>
      <c r="V97" s="199">
        <v>4095.99</v>
      </c>
      <c r="W97" s="196">
        <v>679.1</v>
      </c>
      <c r="X97" s="196" t="s">
        <v>207</v>
      </c>
      <c r="Y97" s="196">
        <v>447.76</v>
      </c>
      <c r="Z97" s="196" t="s">
        <v>207</v>
      </c>
      <c r="AA97" s="196">
        <v>618.66999999999996</v>
      </c>
      <c r="AB97" s="196" t="s">
        <v>207</v>
      </c>
      <c r="AC97" s="196">
        <v>382.37</v>
      </c>
      <c r="AD97" s="196" t="s">
        <v>207</v>
      </c>
      <c r="AE97" s="196">
        <v>171.22</v>
      </c>
      <c r="AF97" s="196" t="s">
        <v>207</v>
      </c>
      <c r="AG97" s="196">
        <v>110.63</v>
      </c>
      <c r="AH97" s="196" t="s">
        <v>207</v>
      </c>
      <c r="AI97" s="196">
        <v>93.46</v>
      </c>
      <c r="AJ97" s="196" t="s">
        <v>207</v>
      </c>
      <c r="AK97" s="196">
        <v>103.11</v>
      </c>
      <c r="AL97" s="196" t="s">
        <v>207</v>
      </c>
      <c r="AM97" s="196">
        <v>122.87</v>
      </c>
      <c r="AN97" s="196" t="s">
        <v>207</v>
      </c>
      <c r="AO97" s="196">
        <v>473.83</v>
      </c>
      <c r="AP97" s="196" t="s">
        <v>207</v>
      </c>
      <c r="AQ97" s="196">
        <v>365.11</v>
      </c>
      <c r="AR97" s="196" t="s">
        <v>207</v>
      </c>
      <c r="AS97" s="196">
        <v>501.44</v>
      </c>
      <c r="AT97" s="196" t="s">
        <v>207</v>
      </c>
      <c r="AU97" s="196">
        <f t="shared" si="1"/>
        <v>4069.57</v>
      </c>
      <c r="AV97" s="199">
        <v>2.3199999999999998</v>
      </c>
      <c r="AW97" s="196" t="s">
        <v>438</v>
      </c>
      <c r="AX97" s="173" t="s">
        <v>296</v>
      </c>
      <c r="AY97" s="196">
        <v>3</v>
      </c>
      <c r="AZ97" s="196" t="s">
        <v>440</v>
      </c>
    </row>
    <row r="98" spans="1:52" s="208" customFormat="1" ht="15" customHeight="1" x14ac:dyDescent="0.3">
      <c r="A98" s="114">
        <v>87</v>
      </c>
      <c r="B98" s="174" t="s">
        <v>665</v>
      </c>
      <c r="C98" s="173" t="s">
        <v>435</v>
      </c>
      <c r="D98" s="196" t="s">
        <v>204</v>
      </c>
      <c r="E98" s="196" t="s">
        <v>289</v>
      </c>
      <c r="F98" s="173" t="s">
        <v>447</v>
      </c>
      <c r="G98" s="197" t="s">
        <v>145</v>
      </c>
      <c r="H98" s="198" t="s">
        <v>146</v>
      </c>
      <c r="I98" s="199">
        <v>1</v>
      </c>
      <c r="J98" s="200" t="s">
        <v>451</v>
      </c>
      <c r="K98" s="201">
        <v>80</v>
      </c>
      <c r="L98" s="202"/>
      <c r="M98" s="200" t="s">
        <v>452</v>
      </c>
      <c r="N98" s="200" t="s">
        <v>218</v>
      </c>
      <c r="O98" s="200" t="s">
        <v>219</v>
      </c>
      <c r="P98" s="200" t="s">
        <v>218</v>
      </c>
      <c r="Q98" s="200" t="s">
        <v>219</v>
      </c>
      <c r="R98" s="200" t="s">
        <v>208</v>
      </c>
      <c r="S98" s="200" t="s">
        <v>219</v>
      </c>
      <c r="T98" s="173" t="s">
        <v>466</v>
      </c>
      <c r="U98" s="199"/>
      <c r="V98" s="199">
        <v>2352.4899999999998</v>
      </c>
      <c r="W98" s="196">
        <v>321.05</v>
      </c>
      <c r="X98" s="196" t="s">
        <v>207</v>
      </c>
      <c r="Y98" s="196">
        <v>238.11</v>
      </c>
      <c r="Z98" s="196" t="s">
        <v>207</v>
      </c>
      <c r="AA98" s="196">
        <v>299.02</v>
      </c>
      <c r="AB98" s="196" t="s">
        <v>207</v>
      </c>
      <c r="AC98" s="196">
        <v>205.7</v>
      </c>
      <c r="AD98" s="196" t="s">
        <v>207</v>
      </c>
      <c r="AE98" s="196">
        <v>104.16</v>
      </c>
      <c r="AF98" s="196" t="s">
        <v>207</v>
      </c>
      <c r="AG98" s="196">
        <v>66.22</v>
      </c>
      <c r="AH98" s="196" t="s">
        <v>207</v>
      </c>
      <c r="AI98" s="196">
        <v>56.12</v>
      </c>
      <c r="AJ98" s="196" t="s">
        <v>207</v>
      </c>
      <c r="AK98" s="196">
        <v>56.2</v>
      </c>
      <c r="AL98" s="196" t="s">
        <v>207</v>
      </c>
      <c r="AM98" s="196">
        <v>73.22</v>
      </c>
      <c r="AN98" s="196" t="s">
        <v>207</v>
      </c>
      <c r="AO98" s="196">
        <v>215</v>
      </c>
      <c r="AP98" s="196" t="s">
        <v>207</v>
      </c>
      <c r="AQ98" s="196">
        <v>186.6</v>
      </c>
      <c r="AR98" s="196" t="s">
        <v>207</v>
      </c>
      <c r="AS98" s="196">
        <v>266.39999999999998</v>
      </c>
      <c r="AT98" s="196" t="s">
        <v>207</v>
      </c>
      <c r="AU98" s="196">
        <f t="shared" si="1"/>
        <v>2087.8000000000002</v>
      </c>
      <c r="AV98" s="199">
        <v>0.97</v>
      </c>
      <c r="AW98" s="196" t="s">
        <v>438</v>
      </c>
      <c r="AX98" s="173" t="s">
        <v>296</v>
      </c>
      <c r="AY98" s="196">
        <v>1</v>
      </c>
      <c r="AZ98" s="196" t="s">
        <v>440</v>
      </c>
    </row>
    <row r="99" spans="1:52" s="208" customFormat="1" ht="15" customHeight="1" x14ac:dyDescent="0.3">
      <c r="A99" s="73">
        <v>88</v>
      </c>
      <c r="B99" s="174" t="s">
        <v>666</v>
      </c>
      <c r="C99" s="173" t="s">
        <v>435</v>
      </c>
      <c r="D99" s="173" t="s">
        <v>204</v>
      </c>
      <c r="E99" s="173" t="s">
        <v>250</v>
      </c>
      <c r="F99" s="173" t="s">
        <v>447</v>
      </c>
      <c r="G99" s="197" t="s">
        <v>145</v>
      </c>
      <c r="H99" s="198" t="s">
        <v>146</v>
      </c>
      <c r="I99" s="198">
        <v>2</v>
      </c>
      <c r="J99" s="200" t="s">
        <v>451</v>
      </c>
      <c r="K99" s="198">
        <v>65</v>
      </c>
      <c r="L99" s="202">
        <v>9.11</v>
      </c>
      <c r="M99" s="200" t="s">
        <v>438</v>
      </c>
      <c r="N99" s="200" t="s">
        <v>218</v>
      </c>
      <c r="O99" s="200" t="s">
        <v>219</v>
      </c>
      <c r="P99" s="200" t="s">
        <v>218</v>
      </c>
      <c r="Q99" s="200" t="s">
        <v>219</v>
      </c>
      <c r="R99" s="200" t="s">
        <v>208</v>
      </c>
      <c r="S99" s="200" t="s">
        <v>219</v>
      </c>
      <c r="T99" s="200"/>
      <c r="U99" s="198">
        <v>5006.6899999999996</v>
      </c>
      <c r="V99" s="198">
        <v>4882.91</v>
      </c>
      <c r="W99" s="173">
        <v>586.86</v>
      </c>
      <c r="X99" s="173" t="s">
        <v>207</v>
      </c>
      <c r="Y99" s="173">
        <v>488.71</v>
      </c>
      <c r="Z99" s="173" t="s">
        <v>207</v>
      </c>
      <c r="AA99" s="173">
        <v>472.78</v>
      </c>
      <c r="AB99" s="173" t="s">
        <v>207</v>
      </c>
      <c r="AC99" s="173">
        <v>372.35</v>
      </c>
      <c r="AD99" s="173" t="s">
        <v>207</v>
      </c>
      <c r="AE99" s="173">
        <v>237.92</v>
      </c>
      <c r="AF99" s="173" t="s">
        <v>207</v>
      </c>
      <c r="AG99" s="173">
        <v>163.26</v>
      </c>
      <c r="AH99" s="173" t="s">
        <v>207</v>
      </c>
      <c r="AI99" s="173">
        <v>142.35</v>
      </c>
      <c r="AJ99" s="173" t="s">
        <v>207</v>
      </c>
      <c r="AK99" s="173">
        <v>152.54</v>
      </c>
      <c r="AL99" s="173" t="s">
        <v>207</v>
      </c>
      <c r="AM99" s="173">
        <v>189.86</v>
      </c>
      <c r="AN99" s="173" t="s">
        <v>207</v>
      </c>
      <c r="AO99" s="173">
        <v>435.68</v>
      </c>
      <c r="AP99" s="173" t="s">
        <v>207</v>
      </c>
      <c r="AQ99" s="173">
        <v>405.12</v>
      </c>
      <c r="AR99" s="173" t="s">
        <v>207</v>
      </c>
      <c r="AS99" s="173">
        <v>521.87</v>
      </c>
      <c r="AT99" s="173" t="s">
        <v>207</v>
      </c>
      <c r="AU99" s="196">
        <f t="shared" si="1"/>
        <v>4169.3</v>
      </c>
      <c r="AV99" s="204">
        <v>2.12</v>
      </c>
      <c r="AW99" s="173" t="s">
        <v>438</v>
      </c>
      <c r="AX99" s="173" t="s">
        <v>296</v>
      </c>
      <c r="AY99" s="173">
        <v>1</v>
      </c>
      <c r="AZ99" s="173" t="s">
        <v>440</v>
      </c>
    </row>
    <row r="100" spans="1:52" s="208" customFormat="1" ht="15" customHeight="1" x14ac:dyDescent="0.3">
      <c r="A100" s="114">
        <v>89</v>
      </c>
      <c r="B100" s="174" t="s">
        <v>667</v>
      </c>
      <c r="C100" s="173" t="s">
        <v>435</v>
      </c>
      <c r="D100" s="196"/>
      <c r="E100" s="196"/>
      <c r="F100" s="173" t="s">
        <v>467</v>
      </c>
      <c r="G100" s="197" t="s">
        <v>145</v>
      </c>
      <c r="H100" s="198" t="s">
        <v>146</v>
      </c>
      <c r="I100" s="199"/>
      <c r="J100" s="200"/>
      <c r="K100" s="201"/>
      <c r="L100" s="202"/>
      <c r="M100" s="200"/>
      <c r="N100" s="200"/>
      <c r="O100" s="200"/>
      <c r="P100" s="200"/>
      <c r="Q100" s="200"/>
      <c r="R100" s="200"/>
      <c r="S100" s="200"/>
      <c r="T100" s="173" t="s">
        <v>468</v>
      </c>
      <c r="U100" s="199"/>
      <c r="V100" s="199">
        <v>983.43</v>
      </c>
      <c r="W100" s="196">
        <v>113.41</v>
      </c>
      <c r="X100" s="196" t="s">
        <v>449</v>
      </c>
      <c r="Y100" s="196">
        <v>112.84</v>
      </c>
      <c r="Z100" s="196" t="s">
        <v>449</v>
      </c>
      <c r="AA100" s="196">
        <v>112.84</v>
      </c>
      <c r="AB100" s="196" t="s">
        <v>449</v>
      </c>
      <c r="AC100" s="196">
        <v>112.84</v>
      </c>
      <c r="AD100" s="196" t="s">
        <v>449</v>
      </c>
      <c r="AE100" s="196">
        <v>112.84</v>
      </c>
      <c r="AF100" s="196" t="s">
        <v>449</v>
      </c>
      <c r="AG100" s="196">
        <v>43.68</v>
      </c>
      <c r="AH100" s="196" t="s">
        <v>449</v>
      </c>
      <c r="AI100" s="196">
        <v>44.13</v>
      </c>
      <c r="AJ100" s="196" t="s">
        <v>449</v>
      </c>
      <c r="AK100" s="196">
        <v>44.13</v>
      </c>
      <c r="AL100" s="196" t="s">
        <v>449</v>
      </c>
      <c r="AM100" s="196">
        <v>44.13</v>
      </c>
      <c r="AN100" s="196" t="s">
        <v>449</v>
      </c>
      <c r="AO100" s="196">
        <v>110</v>
      </c>
      <c r="AP100" s="196" t="s">
        <v>449</v>
      </c>
      <c r="AQ100" s="196">
        <v>110.23</v>
      </c>
      <c r="AR100" s="196" t="s">
        <v>449</v>
      </c>
      <c r="AS100" s="196">
        <v>110.91</v>
      </c>
      <c r="AT100" s="196" t="s">
        <v>449</v>
      </c>
      <c r="AU100" s="196">
        <f t="shared" si="1"/>
        <v>1071.98</v>
      </c>
      <c r="AV100" s="199"/>
      <c r="AW100" s="196"/>
      <c r="AX100" s="173"/>
      <c r="AY100" s="196"/>
      <c r="AZ100" s="196" t="s">
        <v>327</v>
      </c>
    </row>
    <row r="101" spans="1:52" s="208" customFormat="1" ht="15" customHeight="1" x14ac:dyDescent="0.3">
      <c r="A101" s="114">
        <v>90</v>
      </c>
      <c r="B101" s="174" t="s">
        <v>668</v>
      </c>
      <c r="C101" s="173" t="s">
        <v>435</v>
      </c>
      <c r="D101" s="196" t="s">
        <v>288</v>
      </c>
      <c r="E101" s="196" t="s">
        <v>205</v>
      </c>
      <c r="F101" s="173" t="s">
        <v>447</v>
      </c>
      <c r="G101" s="197" t="s">
        <v>145</v>
      </c>
      <c r="H101" s="198" t="s">
        <v>146</v>
      </c>
      <c r="I101" s="199">
        <v>1</v>
      </c>
      <c r="J101" s="200" t="s">
        <v>451</v>
      </c>
      <c r="K101" s="201">
        <v>32</v>
      </c>
      <c r="L101" s="202"/>
      <c r="M101" s="200" t="s">
        <v>438</v>
      </c>
      <c r="N101" s="200" t="s">
        <v>218</v>
      </c>
      <c r="O101" s="200" t="s">
        <v>219</v>
      </c>
      <c r="P101" s="200" t="s">
        <v>218</v>
      </c>
      <c r="Q101" s="200" t="s">
        <v>219</v>
      </c>
      <c r="R101" s="200" t="s">
        <v>208</v>
      </c>
      <c r="S101" s="200" t="s">
        <v>219</v>
      </c>
      <c r="T101" s="173" t="s">
        <v>469</v>
      </c>
      <c r="U101" s="199">
        <f>49.64+383.5</f>
        <v>433.14</v>
      </c>
      <c r="V101" s="199">
        <v>2910.84</v>
      </c>
      <c r="W101" s="199">
        <v>237.66</v>
      </c>
      <c r="X101" s="196" t="s">
        <v>456</v>
      </c>
      <c r="Y101" s="196">
        <v>221.77</v>
      </c>
      <c r="Z101" s="196" t="s">
        <v>207</v>
      </c>
      <c r="AA101" s="196">
        <v>282.27999999999997</v>
      </c>
      <c r="AB101" s="196" t="s">
        <v>207</v>
      </c>
      <c r="AC101" s="196">
        <v>182.2</v>
      </c>
      <c r="AD101" s="196" t="s">
        <v>207</v>
      </c>
      <c r="AE101" s="196">
        <v>73.790000000000006</v>
      </c>
      <c r="AF101" s="196" t="s">
        <v>207</v>
      </c>
      <c r="AG101" s="196">
        <v>42.53</v>
      </c>
      <c r="AH101" s="196" t="s">
        <v>207</v>
      </c>
      <c r="AI101" s="196">
        <v>39.450000000000003</v>
      </c>
      <c r="AJ101" s="196" t="s">
        <v>207</v>
      </c>
      <c r="AK101" s="196">
        <v>34.35</v>
      </c>
      <c r="AL101" s="196" t="s">
        <v>207</v>
      </c>
      <c r="AM101" s="196">
        <v>46.94</v>
      </c>
      <c r="AN101" s="196" t="s">
        <v>207</v>
      </c>
      <c r="AO101" s="196">
        <v>199.15</v>
      </c>
      <c r="AP101" s="196" t="s">
        <v>207</v>
      </c>
      <c r="AQ101" s="196">
        <v>159.30000000000001</v>
      </c>
      <c r="AR101" s="196" t="s">
        <v>207</v>
      </c>
      <c r="AS101" s="196">
        <v>224.2</v>
      </c>
      <c r="AT101" s="196" t="s">
        <v>207</v>
      </c>
      <c r="AU101" s="196">
        <f t="shared" si="1"/>
        <v>1743.6200000000001</v>
      </c>
      <c r="AV101" s="199">
        <v>1.18</v>
      </c>
      <c r="AW101" s="196" t="s">
        <v>438</v>
      </c>
      <c r="AX101" s="173" t="s">
        <v>296</v>
      </c>
      <c r="AY101" s="196">
        <v>1</v>
      </c>
      <c r="AZ101" s="196" t="s">
        <v>440</v>
      </c>
    </row>
    <row r="102" spans="1:52" s="208" customFormat="1" ht="15" customHeight="1" x14ac:dyDescent="0.3">
      <c r="A102" s="114">
        <v>91</v>
      </c>
      <c r="B102" s="174" t="s">
        <v>669</v>
      </c>
      <c r="C102" s="173" t="s">
        <v>435</v>
      </c>
      <c r="D102" s="196" t="s">
        <v>204</v>
      </c>
      <c r="E102" s="196" t="s">
        <v>289</v>
      </c>
      <c r="F102" s="173" t="s">
        <v>447</v>
      </c>
      <c r="G102" s="197" t="s">
        <v>145</v>
      </c>
      <c r="H102" s="198" t="s">
        <v>146</v>
      </c>
      <c r="I102" s="199">
        <v>6</v>
      </c>
      <c r="J102" s="200" t="s">
        <v>437</v>
      </c>
      <c r="K102" s="201">
        <v>32</v>
      </c>
      <c r="L102" s="202"/>
      <c r="M102" s="200" t="s">
        <v>438</v>
      </c>
      <c r="N102" s="200" t="s">
        <v>218</v>
      </c>
      <c r="O102" s="200" t="s">
        <v>219</v>
      </c>
      <c r="P102" s="200" t="s">
        <v>218</v>
      </c>
      <c r="Q102" s="200" t="s">
        <v>219</v>
      </c>
      <c r="R102" s="200" t="s">
        <v>208</v>
      </c>
      <c r="S102" s="200" t="s">
        <v>219</v>
      </c>
      <c r="T102" s="173" t="s">
        <v>470</v>
      </c>
      <c r="U102" s="199">
        <v>7753.18</v>
      </c>
      <c r="V102" s="199">
        <v>8032.05</v>
      </c>
      <c r="W102" s="196">
        <v>1238.07</v>
      </c>
      <c r="X102" s="196" t="s">
        <v>207</v>
      </c>
      <c r="Y102" s="199">
        <v>650.73</v>
      </c>
      <c r="Z102" s="196" t="s">
        <v>207</v>
      </c>
      <c r="AA102" s="196">
        <v>1208.9000000000001</v>
      </c>
      <c r="AB102" s="196" t="s">
        <v>207</v>
      </c>
      <c r="AC102" s="196">
        <v>678.44</v>
      </c>
      <c r="AD102" s="196" t="s">
        <v>207</v>
      </c>
      <c r="AE102" s="196">
        <v>261</v>
      </c>
      <c r="AF102" s="196" t="s">
        <v>207</v>
      </c>
      <c r="AG102" s="196">
        <v>173.75</v>
      </c>
      <c r="AH102" s="196" t="s">
        <v>207</v>
      </c>
      <c r="AI102" s="196">
        <v>155.78</v>
      </c>
      <c r="AJ102" s="196" t="s">
        <v>207</v>
      </c>
      <c r="AK102" s="196">
        <v>169.72</v>
      </c>
      <c r="AL102" s="196" t="s">
        <v>207</v>
      </c>
      <c r="AM102" s="196">
        <v>204.76</v>
      </c>
      <c r="AN102" s="196" t="s">
        <v>207</v>
      </c>
      <c r="AO102" s="196">
        <v>949.26</v>
      </c>
      <c r="AP102" s="196" t="s">
        <v>207</v>
      </c>
      <c r="AQ102" s="196">
        <v>630</v>
      </c>
      <c r="AR102" s="196" t="s">
        <v>207</v>
      </c>
      <c r="AS102" s="196">
        <v>871.4</v>
      </c>
      <c r="AT102" s="196" t="s">
        <v>207</v>
      </c>
      <c r="AU102" s="196">
        <f t="shared" si="1"/>
        <v>7191.8099999999995</v>
      </c>
      <c r="AV102" s="199">
        <v>3.7</v>
      </c>
      <c r="AW102" s="196" t="s">
        <v>438</v>
      </c>
      <c r="AX102" s="173" t="s">
        <v>296</v>
      </c>
      <c r="AY102" s="196">
        <v>5</v>
      </c>
      <c r="AZ102" s="196" t="s">
        <v>440</v>
      </c>
    </row>
    <row r="103" spans="1:52" s="208" customFormat="1" ht="15" customHeight="1" x14ac:dyDescent="0.3">
      <c r="A103" s="73">
        <v>92</v>
      </c>
      <c r="B103" s="174" t="s">
        <v>670</v>
      </c>
      <c r="C103" s="186" t="s">
        <v>445</v>
      </c>
      <c r="D103" s="213" t="s">
        <v>204</v>
      </c>
      <c r="E103" s="213" t="s">
        <v>250</v>
      </c>
      <c r="F103" s="186" t="s">
        <v>471</v>
      </c>
      <c r="G103" s="197" t="s">
        <v>145</v>
      </c>
      <c r="H103" s="210" t="s">
        <v>146</v>
      </c>
      <c r="I103" s="214">
        <v>6</v>
      </c>
      <c r="J103" s="215" t="s">
        <v>450</v>
      </c>
      <c r="K103" s="215">
        <v>40</v>
      </c>
      <c r="L103" s="215">
        <v>8.77</v>
      </c>
      <c r="M103" s="215" t="s">
        <v>452</v>
      </c>
      <c r="N103" s="215" t="s">
        <v>218</v>
      </c>
      <c r="O103" s="215" t="s">
        <v>219</v>
      </c>
      <c r="P103" s="215" t="s">
        <v>218</v>
      </c>
      <c r="Q103" s="215" t="s">
        <v>219</v>
      </c>
      <c r="R103" s="215" t="s">
        <v>296</v>
      </c>
      <c r="S103" s="215" t="s">
        <v>219</v>
      </c>
      <c r="T103" s="215" t="s">
        <v>444</v>
      </c>
      <c r="U103" s="214">
        <v>9459.0499999999993</v>
      </c>
      <c r="V103" s="214">
        <v>9697.66</v>
      </c>
      <c r="W103" s="213">
        <f>317.61+269.89+277.97+245.08+295.54+137.24</f>
        <v>1543.33</v>
      </c>
      <c r="X103" s="217" t="s">
        <v>207</v>
      </c>
      <c r="Y103" s="213">
        <f>76.98+173.52+153.79+156.79+185.81+265.86</f>
        <v>1012.7499999999999</v>
      </c>
      <c r="Z103" s="217" t="s">
        <v>207</v>
      </c>
      <c r="AA103" s="213">
        <f>132.76+258.78+243.06+256.98+283.14+257.88</f>
        <v>1432.6</v>
      </c>
      <c r="AB103" s="217" t="s">
        <v>207</v>
      </c>
      <c r="AC103" s="213">
        <f>58.33+114.16+127.03+139.94+313.56+138.76</f>
        <v>891.78</v>
      </c>
      <c r="AD103" s="217" t="s">
        <v>207</v>
      </c>
      <c r="AE103" s="213">
        <f>6.58+13.51+14.3+15.99+262.73+13.03</f>
        <v>326.14</v>
      </c>
      <c r="AF103" s="217" t="s">
        <v>207</v>
      </c>
      <c r="AG103" s="213">
        <f>216.99</f>
        <v>216.99</v>
      </c>
      <c r="AH103" s="217" t="s">
        <v>207</v>
      </c>
      <c r="AI103" s="213">
        <v>182.2</v>
      </c>
      <c r="AJ103" s="217" t="s">
        <v>207</v>
      </c>
      <c r="AK103" s="213">
        <v>207.09</v>
      </c>
      <c r="AL103" s="217" t="s">
        <v>207</v>
      </c>
      <c r="AM103" s="213">
        <v>253.18</v>
      </c>
      <c r="AN103" s="217" t="s">
        <v>207</v>
      </c>
      <c r="AO103" s="213">
        <v>1043.1300000000001</v>
      </c>
      <c r="AP103" s="217" t="s">
        <v>207</v>
      </c>
      <c r="AQ103" s="213">
        <v>885.03</v>
      </c>
      <c r="AR103" s="217" t="s">
        <v>207</v>
      </c>
      <c r="AS103" s="213">
        <v>1153.8599999999999</v>
      </c>
      <c r="AT103" s="217" t="s">
        <v>207</v>
      </c>
      <c r="AU103" s="196">
        <f t="shared" si="1"/>
        <v>9148.08</v>
      </c>
      <c r="AV103" s="214">
        <f>4.4445+0.0038+0.0017</f>
        <v>4.4499999999999993</v>
      </c>
      <c r="AW103" s="186" t="str">
        <f>M103</f>
        <v>150/75</v>
      </c>
      <c r="AX103" s="186" t="str">
        <f>R103</f>
        <v>зависимая</v>
      </c>
      <c r="AY103" s="186">
        <v>5</v>
      </c>
      <c r="AZ103" s="186" t="s">
        <v>440</v>
      </c>
    </row>
    <row r="104" spans="1:52" s="221" customFormat="1" ht="15" customHeight="1" x14ac:dyDescent="0.3">
      <c r="A104" s="114">
        <v>93</v>
      </c>
      <c r="B104" s="174" t="s">
        <v>671</v>
      </c>
      <c r="C104" s="186" t="s">
        <v>445</v>
      </c>
      <c r="D104" s="213" t="s">
        <v>204</v>
      </c>
      <c r="E104" s="213" t="s">
        <v>250</v>
      </c>
      <c r="F104" s="186" t="s">
        <v>442</v>
      </c>
      <c r="G104" s="197" t="s">
        <v>145</v>
      </c>
      <c r="H104" s="210" t="s">
        <v>146</v>
      </c>
      <c r="I104" s="214">
        <v>4</v>
      </c>
      <c r="J104" s="215" t="s">
        <v>450</v>
      </c>
      <c r="K104" s="215">
        <v>40</v>
      </c>
      <c r="L104" s="215">
        <v>8.77</v>
      </c>
      <c r="M104" s="215" t="s">
        <v>452</v>
      </c>
      <c r="N104" s="215" t="s">
        <v>218</v>
      </c>
      <c r="O104" s="215" t="s">
        <v>219</v>
      </c>
      <c r="P104" s="215" t="s">
        <v>218</v>
      </c>
      <c r="Q104" s="215" t="s">
        <v>219</v>
      </c>
      <c r="R104" s="215" t="s">
        <v>296</v>
      </c>
      <c r="S104" s="215" t="s">
        <v>219</v>
      </c>
      <c r="T104" s="186" t="s">
        <v>472</v>
      </c>
      <c r="U104" s="214">
        <v>7759.75</v>
      </c>
      <c r="V104" s="214">
        <f>7548.75-113.85</f>
        <v>7434.9</v>
      </c>
      <c r="W104" s="213">
        <v>1034.94</v>
      </c>
      <c r="X104" s="217" t="s">
        <v>473</v>
      </c>
      <c r="Y104" s="213">
        <v>750.21</v>
      </c>
      <c r="Z104" s="217" t="s">
        <v>473</v>
      </c>
      <c r="AA104" s="213">
        <v>1063.94</v>
      </c>
      <c r="AB104" s="217" t="s">
        <v>473</v>
      </c>
      <c r="AC104" s="213">
        <v>582.32000000000005</v>
      </c>
      <c r="AD104" s="217" t="s">
        <v>473</v>
      </c>
      <c r="AE104" s="213">
        <v>240.1</v>
      </c>
      <c r="AF104" s="217" t="s">
        <v>473</v>
      </c>
      <c r="AG104" s="213">
        <v>262.33</v>
      </c>
      <c r="AH104" s="217" t="s">
        <v>473</v>
      </c>
      <c r="AI104" s="213">
        <v>271.74</v>
      </c>
      <c r="AJ104" s="217" t="s">
        <v>473</v>
      </c>
      <c r="AK104" s="213">
        <f>0.56+130.04</f>
        <v>130.6</v>
      </c>
      <c r="AL104" s="217" t="s">
        <v>473</v>
      </c>
      <c r="AM104" s="213">
        <v>131.61000000000001</v>
      </c>
      <c r="AN104" s="217" t="s">
        <v>473</v>
      </c>
      <c r="AO104" s="213">
        <v>662.71</v>
      </c>
      <c r="AP104" s="217" t="s">
        <v>473</v>
      </c>
      <c r="AQ104" s="213">
        <v>605.85</v>
      </c>
      <c r="AR104" s="217" t="s">
        <v>473</v>
      </c>
      <c r="AS104" s="213">
        <v>775.99</v>
      </c>
      <c r="AT104" s="217" t="s">
        <v>473</v>
      </c>
      <c r="AU104" s="196">
        <f t="shared" si="1"/>
        <v>6512.34</v>
      </c>
      <c r="AV104" s="214">
        <f>0.0042+0.0023+3.1035</f>
        <v>3.11</v>
      </c>
      <c r="AW104" s="186" t="str">
        <f>M104</f>
        <v>150/75</v>
      </c>
      <c r="AX104" s="186" t="str">
        <f>R104</f>
        <v>зависимая</v>
      </c>
      <c r="AY104" s="186">
        <v>3</v>
      </c>
      <c r="AZ104" s="186" t="s">
        <v>440</v>
      </c>
    </row>
    <row r="105" spans="1:52" s="208" customFormat="1" ht="15" customHeight="1" x14ac:dyDescent="0.3">
      <c r="A105" s="114">
        <v>94</v>
      </c>
      <c r="B105" s="174" t="s">
        <v>672</v>
      </c>
      <c r="C105" s="173" t="s">
        <v>435</v>
      </c>
      <c r="D105" s="196" t="s">
        <v>204</v>
      </c>
      <c r="E105" s="196" t="s">
        <v>289</v>
      </c>
      <c r="F105" s="173" t="s">
        <v>447</v>
      </c>
      <c r="G105" s="197" t="s">
        <v>145</v>
      </c>
      <c r="H105" s="198" t="s">
        <v>146</v>
      </c>
      <c r="I105" s="199">
        <v>4</v>
      </c>
      <c r="J105" s="200" t="s">
        <v>451</v>
      </c>
      <c r="K105" s="201">
        <v>32</v>
      </c>
      <c r="L105" s="202">
        <v>9.52</v>
      </c>
      <c r="M105" s="200" t="s">
        <v>474</v>
      </c>
      <c r="N105" s="200" t="s">
        <v>218</v>
      </c>
      <c r="O105" s="200" t="s">
        <v>219</v>
      </c>
      <c r="P105" s="200" t="s">
        <v>218</v>
      </c>
      <c r="Q105" s="200" t="s">
        <v>219</v>
      </c>
      <c r="R105" s="200" t="s">
        <v>208</v>
      </c>
      <c r="S105" s="200" t="s">
        <v>219</v>
      </c>
      <c r="T105" s="173" t="s">
        <v>475</v>
      </c>
      <c r="U105" s="199">
        <v>4421.76</v>
      </c>
      <c r="V105" s="199">
        <f>1893.94+2673.15+131.55</f>
        <v>4698.6400000000003</v>
      </c>
      <c r="W105" s="196">
        <v>707.36</v>
      </c>
      <c r="X105" s="196" t="s">
        <v>207</v>
      </c>
      <c r="Y105" s="196">
        <v>434.7</v>
      </c>
      <c r="Z105" s="196" t="s">
        <v>207</v>
      </c>
      <c r="AA105" s="196">
        <v>634.85</v>
      </c>
      <c r="AB105" s="196" t="s">
        <v>207</v>
      </c>
      <c r="AC105" s="196">
        <v>395.1</v>
      </c>
      <c r="AD105" s="196" t="s">
        <v>207</v>
      </c>
      <c r="AE105" s="196">
        <v>147.46</v>
      </c>
      <c r="AF105" s="196" t="s">
        <v>207</v>
      </c>
      <c r="AG105" s="196">
        <v>87.77</v>
      </c>
      <c r="AH105" s="196" t="s">
        <v>207</v>
      </c>
      <c r="AI105" s="196">
        <v>77.5</v>
      </c>
      <c r="AJ105" s="196" t="s">
        <v>207</v>
      </c>
      <c r="AK105" s="196">
        <v>80.930000000000007</v>
      </c>
      <c r="AL105" s="196" t="s">
        <v>207</v>
      </c>
      <c r="AM105" s="196">
        <v>101.68</v>
      </c>
      <c r="AN105" s="196" t="s">
        <v>207</v>
      </c>
      <c r="AO105" s="196">
        <v>480.42</v>
      </c>
      <c r="AP105" s="196" t="s">
        <v>207</v>
      </c>
      <c r="AQ105" s="196">
        <v>355.24</v>
      </c>
      <c r="AR105" s="196" t="s">
        <v>207</v>
      </c>
      <c r="AS105" s="196">
        <v>534.69000000000005</v>
      </c>
      <c r="AT105" s="196" t="s">
        <v>207</v>
      </c>
      <c r="AU105" s="196">
        <f t="shared" si="1"/>
        <v>4037.6999999999994</v>
      </c>
      <c r="AV105" s="199">
        <v>2.02</v>
      </c>
      <c r="AW105" s="196" t="s">
        <v>474</v>
      </c>
      <c r="AX105" s="173" t="s">
        <v>296</v>
      </c>
      <c r="AY105" s="196">
        <v>3</v>
      </c>
      <c r="AZ105" s="196" t="s">
        <v>440</v>
      </c>
    </row>
    <row r="106" spans="1:52" s="208" customFormat="1" ht="15" customHeight="1" x14ac:dyDescent="0.3">
      <c r="A106" s="114">
        <v>95</v>
      </c>
      <c r="B106" s="174" t="s">
        <v>673</v>
      </c>
      <c r="C106" s="173" t="s">
        <v>435</v>
      </c>
      <c r="D106" s="196" t="s">
        <v>204</v>
      </c>
      <c r="E106" s="196" t="s">
        <v>289</v>
      </c>
      <c r="F106" s="173" t="s">
        <v>447</v>
      </c>
      <c r="G106" s="197" t="s">
        <v>145</v>
      </c>
      <c r="H106" s="198" t="s">
        <v>146</v>
      </c>
      <c r="I106" s="199">
        <v>5</v>
      </c>
      <c r="J106" s="200" t="s">
        <v>437</v>
      </c>
      <c r="K106" s="201">
        <v>50</v>
      </c>
      <c r="L106" s="202"/>
      <c r="M106" s="200" t="s">
        <v>438</v>
      </c>
      <c r="N106" s="200" t="s">
        <v>218</v>
      </c>
      <c r="O106" s="200" t="s">
        <v>219</v>
      </c>
      <c r="P106" s="200" t="s">
        <v>218</v>
      </c>
      <c r="Q106" s="200" t="s">
        <v>219</v>
      </c>
      <c r="R106" s="200" t="s">
        <v>208</v>
      </c>
      <c r="S106" s="200" t="s">
        <v>219</v>
      </c>
      <c r="T106" s="200" t="s">
        <v>476</v>
      </c>
      <c r="U106" s="199">
        <v>8162.72</v>
      </c>
      <c r="V106" s="199">
        <f>2856.814-66.21+4601.54+388.5</f>
        <v>7780.6440000000002</v>
      </c>
      <c r="W106" s="199">
        <v>1163.3599999999999</v>
      </c>
      <c r="X106" s="199" t="s">
        <v>473</v>
      </c>
      <c r="Y106" s="209">
        <v>821.13</v>
      </c>
      <c r="Z106" s="199" t="s">
        <v>473</v>
      </c>
      <c r="AA106" s="209">
        <v>1148.72</v>
      </c>
      <c r="AB106" s="199" t="s">
        <v>473</v>
      </c>
      <c r="AC106" s="209">
        <v>640.72</v>
      </c>
      <c r="AD106" s="199" t="s">
        <v>473</v>
      </c>
      <c r="AE106" s="196">
        <v>279.04000000000002</v>
      </c>
      <c r="AF106" s="199" t="s">
        <v>473</v>
      </c>
      <c r="AG106" s="199">
        <v>308.51</v>
      </c>
      <c r="AH106" s="199" t="s">
        <v>473</v>
      </c>
      <c r="AI106" s="199">
        <v>323.20999999999998</v>
      </c>
      <c r="AJ106" s="199" t="s">
        <v>473</v>
      </c>
      <c r="AK106" s="199">
        <f>179.21+0.25</f>
        <v>179.46</v>
      </c>
      <c r="AL106" s="199" t="s">
        <v>473</v>
      </c>
      <c r="AM106" s="199">
        <v>190.23</v>
      </c>
      <c r="AN106" s="199" t="s">
        <v>473</v>
      </c>
      <c r="AO106" s="199">
        <v>704.11</v>
      </c>
      <c r="AP106" s="199" t="s">
        <v>473</v>
      </c>
      <c r="AQ106" s="199">
        <v>616.77</v>
      </c>
      <c r="AR106" s="199" t="s">
        <v>473</v>
      </c>
      <c r="AS106" s="199">
        <v>866.1</v>
      </c>
      <c r="AT106" s="199" t="s">
        <v>473</v>
      </c>
      <c r="AU106" s="196">
        <f t="shared" si="1"/>
        <v>7241.3600000000006</v>
      </c>
      <c r="AV106" s="199">
        <v>3.23</v>
      </c>
      <c r="AW106" s="196" t="s">
        <v>438</v>
      </c>
      <c r="AX106" s="173" t="s">
        <v>296</v>
      </c>
      <c r="AY106" s="196">
        <v>5</v>
      </c>
      <c r="AZ106" s="196" t="s">
        <v>440</v>
      </c>
    </row>
    <row r="107" spans="1:52" s="208" customFormat="1" ht="15" customHeight="1" x14ac:dyDescent="0.3">
      <c r="A107" s="73">
        <v>96</v>
      </c>
      <c r="B107" s="174" t="s">
        <v>674</v>
      </c>
      <c r="C107" s="173" t="s">
        <v>435</v>
      </c>
      <c r="D107" s="196" t="s">
        <v>204</v>
      </c>
      <c r="E107" s="196" t="s">
        <v>289</v>
      </c>
      <c r="F107" s="173" t="s">
        <v>447</v>
      </c>
      <c r="G107" s="197" t="s">
        <v>145</v>
      </c>
      <c r="H107" s="198" t="s">
        <v>146</v>
      </c>
      <c r="I107" s="199">
        <v>3</v>
      </c>
      <c r="J107" s="200" t="s">
        <v>437</v>
      </c>
      <c r="K107" s="201">
        <v>50</v>
      </c>
      <c r="L107" s="202"/>
      <c r="M107" s="200" t="s">
        <v>438</v>
      </c>
      <c r="N107" s="200" t="s">
        <v>218</v>
      </c>
      <c r="O107" s="200" t="s">
        <v>219</v>
      </c>
      <c r="P107" s="200" t="s">
        <v>218</v>
      </c>
      <c r="Q107" s="200" t="s">
        <v>219</v>
      </c>
      <c r="R107" s="200" t="s">
        <v>208</v>
      </c>
      <c r="S107" s="200" t="s">
        <v>219</v>
      </c>
      <c r="T107" s="200" t="s">
        <v>477</v>
      </c>
      <c r="U107" s="199">
        <v>5220.8599999999997</v>
      </c>
      <c r="V107" s="199">
        <f>538.01-27.71+3140.78+269.66+1013.32</f>
        <v>4934.0600000000004</v>
      </c>
      <c r="W107" s="199">
        <v>638.92999999999995</v>
      </c>
      <c r="X107" s="199" t="s">
        <v>473</v>
      </c>
      <c r="Y107" s="209">
        <v>448.58</v>
      </c>
      <c r="Z107" s="199" t="s">
        <v>473</v>
      </c>
      <c r="AA107" s="209">
        <v>626</v>
      </c>
      <c r="AB107" s="199" t="s">
        <v>473</v>
      </c>
      <c r="AC107" s="209">
        <v>410.9</v>
      </c>
      <c r="AD107" s="199" t="s">
        <v>473</v>
      </c>
      <c r="AE107" s="196">
        <v>165.3</v>
      </c>
      <c r="AF107" s="199" t="s">
        <v>473</v>
      </c>
      <c r="AG107" s="199">
        <v>181.02</v>
      </c>
      <c r="AH107" s="199" t="s">
        <v>473</v>
      </c>
      <c r="AI107" s="199">
        <v>183.99</v>
      </c>
      <c r="AJ107" s="199" t="s">
        <v>473</v>
      </c>
      <c r="AK107" s="199">
        <v>110.99</v>
      </c>
      <c r="AL107" s="199" t="s">
        <v>473</v>
      </c>
      <c r="AM107" s="199">
        <v>112.48</v>
      </c>
      <c r="AN107" s="199" t="s">
        <v>473</v>
      </c>
      <c r="AO107" s="199">
        <v>400.37</v>
      </c>
      <c r="AP107" s="199" t="s">
        <v>473</v>
      </c>
      <c r="AQ107" s="199">
        <v>363.48</v>
      </c>
      <c r="AR107" s="199" t="s">
        <v>473</v>
      </c>
      <c r="AS107" s="199">
        <v>485.11</v>
      </c>
      <c r="AT107" s="199" t="s">
        <v>473</v>
      </c>
      <c r="AU107" s="196">
        <f t="shared" si="1"/>
        <v>4127.1499999999996</v>
      </c>
      <c r="AV107" s="199">
        <v>2.09</v>
      </c>
      <c r="AW107" s="196" t="s">
        <v>438</v>
      </c>
      <c r="AX107" s="173" t="s">
        <v>296</v>
      </c>
      <c r="AY107" s="196">
        <v>3</v>
      </c>
      <c r="AZ107" s="196" t="s">
        <v>440</v>
      </c>
    </row>
    <row r="108" spans="1:52" s="221" customFormat="1" ht="15" customHeight="1" x14ac:dyDescent="0.3">
      <c r="A108" s="114">
        <v>97</v>
      </c>
      <c r="B108" s="174" t="s">
        <v>675</v>
      </c>
      <c r="C108" s="173" t="s">
        <v>435</v>
      </c>
      <c r="D108" s="196" t="s">
        <v>204</v>
      </c>
      <c r="E108" s="196" t="s">
        <v>289</v>
      </c>
      <c r="F108" s="173" t="s">
        <v>447</v>
      </c>
      <c r="G108" s="197" t="s">
        <v>145</v>
      </c>
      <c r="H108" s="198" t="s">
        <v>146</v>
      </c>
      <c r="I108" s="199">
        <v>4</v>
      </c>
      <c r="J108" s="200" t="s">
        <v>451</v>
      </c>
      <c r="K108" s="201">
        <v>32</v>
      </c>
      <c r="L108" s="202">
        <v>9.52</v>
      </c>
      <c r="M108" s="200" t="s">
        <v>474</v>
      </c>
      <c r="N108" s="200" t="s">
        <v>218</v>
      </c>
      <c r="O108" s="200" t="s">
        <v>219</v>
      </c>
      <c r="P108" s="200" t="s">
        <v>218</v>
      </c>
      <c r="Q108" s="200" t="s">
        <v>219</v>
      </c>
      <c r="R108" s="200" t="s">
        <v>208</v>
      </c>
      <c r="S108" s="200" t="s">
        <v>219</v>
      </c>
      <c r="T108" s="200"/>
      <c r="U108" s="199">
        <v>5461.73</v>
      </c>
      <c r="V108" s="199">
        <v>4598.92</v>
      </c>
      <c r="W108" s="196">
        <v>683.15</v>
      </c>
      <c r="X108" s="196" t="s">
        <v>207</v>
      </c>
      <c r="Y108" s="196">
        <v>555.37</v>
      </c>
      <c r="Z108" s="196" t="s">
        <v>207</v>
      </c>
      <c r="AA108" s="196">
        <v>610.6</v>
      </c>
      <c r="AB108" s="196" t="s">
        <v>207</v>
      </c>
      <c r="AC108" s="196">
        <v>407.51</v>
      </c>
      <c r="AD108" s="196" t="s">
        <v>207</v>
      </c>
      <c r="AE108" s="196">
        <v>163.49</v>
      </c>
      <c r="AF108" s="196" t="s">
        <v>207</v>
      </c>
      <c r="AG108" s="196">
        <v>108.94</v>
      </c>
      <c r="AH108" s="196" t="s">
        <v>207</v>
      </c>
      <c r="AI108" s="196">
        <v>100.15</v>
      </c>
      <c r="AJ108" s="196" t="s">
        <v>207</v>
      </c>
      <c r="AK108" s="196">
        <v>103.82</v>
      </c>
      <c r="AL108" s="196" t="s">
        <v>207</v>
      </c>
      <c r="AM108" s="196">
        <v>127.09</v>
      </c>
      <c r="AN108" s="196" t="s">
        <v>207</v>
      </c>
      <c r="AO108" s="196">
        <v>432.84</v>
      </c>
      <c r="AP108" s="196" t="s">
        <v>207</v>
      </c>
      <c r="AQ108" s="196">
        <v>341.84</v>
      </c>
      <c r="AR108" s="196" t="s">
        <v>207</v>
      </c>
      <c r="AS108" s="196">
        <v>553.87</v>
      </c>
      <c r="AT108" s="196" t="s">
        <v>207</v>
      </c>
      <c r="AU108" s="196">
        <f t="shared" si="1"/>
        <v>4188.670000000001</v>
      </c>
      <c r="AV108" s="199">
        <v>2.09</v>
      </c>
      <c r="AW108" s="196" t="s">
        <v>474</v>
      </c>
      <c r="AX108" s="173" t="s">
        <v>296</v>
      </c>
      <c r="AY108" s="196">
        <v>3</v>
      </c>
      <c r="AZ108" s="196" t="s">
        <v>440</v>
      </c>
    </row>
    <row r="109" spans="1:52" s="221" customFormat="1" ht="15" customHeight="1" x14ac:dyDescent="0.3">
      <c r="A109" s="114">
        <v>98</v>
      </c>
      <c r="B109" s="174" t="s">
        <v>676</v>
      </c>
      <c r="C109" s="173" t="s">
        <v>435</v>
      </c>
      <c r="D109" s="196" t="s">
        <v>204</v>
      </c>
      <c r="E109" s="196" t="s">
        <v>289</v>
      </c>
      <c r="F109" s="173" t="s">
        <v>447</v>
      </c>
      <c r="G109" s="197" t="s">
        <v>145</v>
      </c>
      <c r="H109" s="198" t="s">
        <v>146</v>
      </c>
      <c r="I109" s="199">
        <v>5</v>
      </c>
      <c r="J109" s="200" t="s">
        <v>437</v>
      </c>
      <c r="K109" s="201">
        <v>50</v>
      </c>
      <c r="L109" s="202"/>
      <c r="M109" s="200" t="s">
        <v>438</v>
      </c>
      <c r="N109" s="200" t="s">
        <v>218</v>
      </c>
      <c r="O109" s="200" t="s">
        <v>219</v>
      </c>
      <c r="P109" s="200" t="s">
        <v>218</v>
      </c>
      <c r="Q109" s="200" t="s">
        <v>219</v>
      </c>
      <c r="R109" s="200" t="s">
        <v>208</v>
      </c>
      <c r="S109" s="200" t="s">
        <v>219</v>
      </c>
      <c r="T109" s="200" t="s">
        <v>478</v>
      </c>
      <c r="U109" s="199">
        <v>8901.77</v>
      </c>
      <c r="V109" s="199">
        <f>2687.19-115.32+5974.06</f>
        <v>8545.93</v>
      </c>
      <c r="W109" s="199">
        <v>1112.2</v>
      </c>
      <c r="X109" s="199" t="s">
        <v>473</v>
      </c>
      <c r="Y109" s="209">
        <v>820.37</v>
      </c>
      <c r="Z109" s="199" t="s">
        <v>473</v>
      </c>
      <c r="AA109" s="222">
        <v>1124.77</v>
      </c>
      <c r="AB109" s="199" t="s">
        <v>473</v>
      </c>
      <c r="AC109" s="222">
        <v>656.9</v>
      </c>
      <c r="AD109" s="199" t="s">
        <v>473</v>
      </c>
      <c r="AE109" s="223">
        <v>298.08999999999997</v>
      </c>
      <c r="AF109" s="199" t="s">
        <v>473</v>
      </c>
      <c r="AG109" s="224">
        <v>320.82</v>
      </c>
      <c r="AH109" s="199" t="s">
        <v>473</v>
      </c>
      <c r="AI109" s="224">
        <v>343.39</v>
      </c>
      <c r="AJ109" s="199" t="s">
        <v>473</v>
      </c>
      <c r="AK109" s="199">
        <f>171.08+0.25</f>
        <v>171.33</v>
      </c>
      <c r="AL109" s="199" t="s">
        <v>473</v>
      </c>
      <c r="AM109" s="224">
        <v>180.65</v>
      </c>
      <c r="AN109" s="199" t="s">
        <v>473</v>
      </c>
      <c r="AO109" s="224">
        <v>632.41</v>
      </c>
      <c r="AP109" s="199" t="s">
        <v>473</v>
      </c>
      <c r="AQ109" s="224">
        <v>618.67999999999995</v>
      </c>
      <c r="AR109" s="199" t="s">
        <v>473</v>
      </c>
      <c r="AS109" s="224">
        <v>890.28</v>
      </c>
      <c r="AT109" s="199" t="s">
        <v>473</v>
      </c>
      <c r="AU109" s="196">
        <f t="shared" si="1"/>
        <v>7169.89</v>
      </c>
      <c r="AV109" s="199">
        <v>3.6</v>
      </c>
      <c r="AW109" s="196" t="s">
        <v>438</v>
      </c>
      <c r="AX109" s="173" t="s">
        <v>296</v>
      </c>
      <c r="AY109" s="196">
        <v>5</v>
      </c>
      <c r="AZ109" s="196" t="s">
        <v>440</v>
      </c>
    </row>
    <row r="110" spans="1:52" s="208" customFormat="1" ht="15" customHeight="1" x14ac:dyDescent="0.3">
      <c r="A110" s="114">
        <v>99</v>
      </c>
      <c r="B110" s="174" t="s">
        <v>677</v>
      </c>
      <c r="C110" s="186" t="s">
        <v>445</v>
      </c>
      <c r="D110" s="213" t="s">
        <v>288</v>
      </c>
      <c r="E110" s="213" t="s">
        <v>264</v>
      </c>
      <c r="F110" s="186" t="s">
        <v>442</v>
      </c>
      <c r="G110" s="197" t="s">
        <v>145</v>
      </c>
      <c r="H110" s="210" t="s">
        <v>146</v>
      </c>
      <c r="I110" s="214">
        <v>1</v>
      </c>
      <c r="J110" s="215" t="s">
        <v>446</v>
      </c>
      <c r="K110" s="215">
        <v>40</v>
      </c>
      <c r="L110" s="215">
        <v>8.14</v>
      </c>
      <c r="M110" s="215" t="s">
        <v>438</v>
      </c>
      <c r="N110" s="215" t="s">
        <v>218</v>
      </c>
      <c r="O110" s="215" t="s">
        <v>219</v>
      </c>
      <c r="P110" s="215" t="s">
        <v>218</v>
      </c>
      <c r="Q110" s="215" t="s">
        <v>219</v>
      </c>
      <c r="R110" s="215" t="s">
        <v>296</v>
      </c>
      <c r="S110" s="215" t="s">
        <v>219</v>
      </c>
      <c r="T110" s="215" t="s">
        <v>444</v>
      </c>
      <c r="U110" s="214">
        <v>1977.17</v>
      </c>
      <c r="V110" s="214">
        <v>1937.81</v>
      </c>
      <c r="W110" s="225">
        <v>298.14</v>
      </c>
      <c r="X110" s="217" t="s">
        <v>207</v>
      </c>
      <c r="Y110" s="225">
        <v>224.47</v>
      </c>
      <c r="Z110" s="217" t="s">
        <v>207</v>
      </c>
      <c r="AA110" s="225">
        <v>287.13</v>
      </c>
      <c r="AB110" s="217" t="s">
        <v>207</v>
      </c>
      <c r="AC110" s="225">
        <v>180.72</v>
      </c>
      <c r="AD110" s="217" t="s">
        <v>207</v>
      </c>
      <c r="AE110" s="225">
        <v>96.94</v>
      </c>
      <c r="AF110" s="217" t="s">
        <v>207</v>
      </c>
      <c r="AG110" s="225">
        <v>52.54</v>
      </c>
      <c r="AH110" s="217" t="s">
        <v>207</v>
      </c>
      <c r="AI110" s="225">
        <v>51.51</v>
      </c>
      <c r="AJ110" s="217" t="s">
        <v>207</v>
      </c>
      <c r="AK110" s="225">
        <v>52.5</v>
      </c>
      <c r="AL110" s="217" t="s">
        <v>207</v>
      </c>
      <c r="AM110" s="225">
        <v>65.040000000000006</v>
      </c>
      <c r="AN110" s="217" t="s">
        <v>207</v>
      </c>
      <c r="AO110" s="225">
        <v>190.73</v>
      </c>
      <c r="AP110" s="217" t="s">
        <v>207</v>
      </c>
      <c r="AQ110" s="225">
        <v>173.11</v>
      </c>
      <c r="AR110" s="217" t="s">
        <v>207</v>
      </c>
      <c r="AS110" s="225">
        <v>229.9</v>
      </c>
      <c r="AT110" s="217" t="s">
        <v>207</v>
      </c>
      <c r="AU110" s="196">
        <f t="shared" si="1"/>
        <v>1902.73</v>
      </c>
      <c r="AV110" s="214">
        <v>0.99</v>
      </c>
      <c r="AW110" s="186" t="str">
        <f t="shared" ref="AW110:AW120" si="5">M110</f>
        <v>150/70</v>
      </c>
      <c r="AX110" s="186" t="str">
        <f t="shared" ref="AX110:AX120" si="6">R110</f>
        <v>зависимая</v>
      </c>
      <c r="AY110" s="186">
        <f t="shared" ref="AY110:AY120" si="7">I110</f>
        <v>1</v>
      </c>
      <c r="AZ110" s="186" t="s">
        <v>440</v>
      </c>
    </row>
    <row r="111" spans="1:52" s="208" customFormat="1" ht="15" customHeight="1" x14ac:dyDescent="0.3">
      <c r="A111" s="73">
        <v>100</v>
      </c>
      <c r="B111" s="174" t="s">
        <v>678</v>
      </c>
      <c r="C111" s="186" t="s">
        <v>445</v>
      </c>
      <c r="D111" s="213" t="s">
        <v>288</v>
      </c>
      <c r="E111" s="213" t="s">
        <v>264</v>
      </c>
      <c r="F111" s="186" t="s">
        <v>442</v>
      </c>
      <c r="G111" s="197" t="s">
        <v>145</v>
      </c>
      <c r="H111" s="210" t="s">
        <v>146</v>
      </c>
      <c r="I111" s="214">
        <v>1</v>
      </c>
      <c r="J111" s="215" t="s">
        <v>446</v>
      </c>
      <c r="K111" s="215">
        <v>40</v>
      </c>
      <c r="L111" s="215">
        <v>8.14</v>
      </c>
      <c r="M111" s="215" t="s">
        <v>438</v>
      </c>
      <c r="N111" s="215" t="s">
        <v>218</v>
      </c>
      <c r="O111" s="215" t="s">
        <v>219</v>
      </c>
      <c r="P111" s="215" t="s">
        <v>218</v>
      </c>
      <c r="Q111" s="215" t="s">
        <v>219</v>
      </c>
      <c r="R111" s="215" t="s">
        <v>296</v>
      </c>
      <c r="S111" s="215" t="s">
        <v>219</v>
      </c>
      <c r="T111" s="215" t="s">
        <v>444</v>
      </c>
      <c r="U111" s="214">
        <v>2178.7199999999998</v>
      </c>
      <c r="V111" s="214">
        <v>2143.17</v>
      </c>
      <c r="W111" s="225">
        <v>329.79</v>
      </c>
      <c r="X111" s="217" t="s">
        <v>207</v>
      </c>
      <c r="Y111" s="225">
        <v>268.38</v>
      </c>
      <c r="Z111" s="217" t="s">
        <v>207</v>
      </c>
      <c r="AA111" s="225">
        <v>322.11</v>
      </c>
      <c r="AB111" s="217" t="s">
        <v>207</v>
      </c>
      <c r="AC111" s="225">
        <v>178.23</v>
      </c>
      <c r="AD111" s="217" t="s">
        <v>207</v>
      </c>
      <c r="AE111" s="225">
        <v>93.43</v>
      </c>
      <c r="AF111" s="217" t="s">
        <v>207</v>
      </c>
      <c r="AG111" s="225">
        <v>58.95</v>
      </c>
      <c r="AH111" s="217" t="s">
        <v>207</v>
      </c>
      <c r="AI111" s="225">
        <v>55.29</v>
      </c>
      <c r="AJ111" s="217" t="s">
        <v>207</v>
      </c>
      <c r="AK111" s="225">
        <v>58.11</v>
      </c>
      <c r="AL111" s="217" t="s">
        <v>207</v>
      </c>
      <c r="AM111" s="225">
        <v>61.79</v>
      </c>
      <c r="AN111" s="217" t="s">
        <v>207</v>
      </c>
      <c r="AO111" s="225">
        <v>180.28</v>
      </c>
      <c r="AP111" s="217" t="s">
        <v>207</v>
      </c>
      <c r="AQ111" s="225">
        <v>161.44999999999999</v>
      </c>
      <c r="AR111" s="217" t="s">
        <v>207</v>
      </c>
      <c r="AS111" s="225">
        <v>225.4</v>
      </c>
      <c r="AT111" s="217" t="s">
        <v>207</v>
      </c>
      <c r="AU111" s="196">
        <f t="shared" si="1"/>
        <v>1993.21</v>
      </c>
      <c r="AV111" s="214">
        <v>0.97</v>
      </c>
      <c r="AW111" s="186" t="str">
        <f t="shared" si="5"/>
        <v>150/70</v>
      </c>
      <c r="AX111" s="186" t="str">
        <f t="shared" si="6"/>
        <v>зависимая</v>
      </c>
      <c r="AY111" s="186">
        <f t="shared" si="7"/>
        <v>1</v>
      </c>
      <c r="AZ111" s="186" t="s">
        <v>440</v>
      </c>
    </row>
    <row r="112" spans="1:52" s="208" customFormat="1" ht="15" customHeight="1" x14ac:dyDescent="0.3">
      <c r="A112" s="114">
        <v>101</v>
      </c>
      <c r="B112" s="174" t="s">
        <v>679</v>
      </c>
      <c r="C112" s="186" t="s">
        <v>445</v>
      </c>
      <c r="D112" s="213" t="s">
        <v>288</v>
      </c>
      <c r="E112" s="213" t="s">
        <v>264</v>
      </c>
      <c r="F112" s="186" t="s">
        <v>442</v>
      </c>
      <c r="G112" s="197" t="s">
        <v>145</v>
      </c>
      <c r="H112" s="210" t="s">
        <v>146</v>
      </c>
      <c r="I112" s="214">
        <v>1</v>
      </c>
      <c r="J112" s="215" t="s">
        <v>446</v>
      </c>
      <c r="K112" s="215">
        <v>40</v>
      </c>
      <c r="L112" s="215">
        <v>8.14</v>
      </c>
      <c r="M112" s="215" t="s">
        <v>438</v>
      </c>
      <c r="N112" s="215" t="s">
        <v>218</v>
      </c>
      <c r="O112" s="215" t="s">
        <v>219</v>
      </c>
      <c r="P112" s="215" t="s">
        <v>218</v>
      </c>
      <c r="Q112" s="215" t="s">
        <v>219</v>
      </c>
      <c r="R112" s="215" t="s">
        <v>296</v>
      </c>
      <c r="S112" s="215" t="s">
        <v>219</v>
      </c>
      <c r="T112" s="215" t="s">
        <v>444</v>
      </c>
      <c r="U112" s="214">
        <v>2077.5</v>
      </c>
      <c r="V112" s="214">
        <v>2074.64</v>
      </c>
      <c r="W112" s="225">
        <v>304</v>
      </c>
      <c r="X112" s="217" t="s">
        <v>207</v>
      </c>
      <c r="Y112" s="225">
        <v>203.88</v>
      </c>
      <c r="Z112" s="217" t="s">
        <v>207</v>
      </c>
      <c r="AA112" s="225">
        <v>304.33999999999997</v>
      </c>
      <c r="AB112" s="217" t="s">
        <v>207</v>
      </c>
      <c r="AC112" s="225">
        <v>188.68</v>
      </c>
      <c r="AD112" s="217" t="s">
        <v>207</v>
      </c>
      <c r="AE112" s="225">
        <v>104.81</v>
      </c>
      <c r="AF112" s="217" t="s">
        <v>207</v>
      </c>
      <c r="AG112" s="225">
        <v>56.4</v>
      </c>
      <c r="AH112" s="217" t="s">
        <v>207</v>
      </c>
      <c r="AI112" s="225">
        <v>52.98</v>
      </c>
      <c r="AJ112" s="217" t="s">
        <v>207</v>
      </c>
      <c r="AK112" s="225">
        <v>54.66</v>
      </c>
      <c r="AL112" s="217" t="s">
        <v>207</v>
      </c>
      <c r="AM112" s="225">
        <v>64.55</v>
      </c>
      <c r="AN112" s="217" t="s">
        <v>207</v>
      </c>
      <c r="AO112" s="225">
        <v>196.88</v>
      </c>
      <c r="AP112" s="217" t="s">
        <v>207</v>
      </c>
      <c r="AQ112" s="225">
        <v>161.58000000000001</v>
      </c>
      <c r="AR112" s="217" t="s">
        <v>207</v>
      </c>
      <c r="AS112" s="225">
        <v>211.22</v>
      </c>
      <c r="AT112" s="217" t="s">
        <v>207</v>
      </c>
      <c r="AU112" s="196">
        <f t="shared" si="1"/>
        <v>1903.9800000000002</v>
      </c>
      <c r="AV112" s="214">
        <v>0.97</v>
      </c>
      <c r="AW112" s="186" t="str">
        <f t="shared" si="5"/>
        <v>150/70</v>
      </c>
      <c r="AX112" s="186" t="str">
        <f t="shared" si="6"/>
        <v>зависимая</v>
      </c>
      <c r="AY112" s="186">
        <f t="shared" si="7"/>
        <v>1</v>
      </c>
      <c r="AZ112" s="186" t="s">
        <v>440</v>
      </c>
    </row>
    <row r="113" spans="1:52" s="208" customFormat="1" ht="15" customHeight="1" x14ac:dyDescent="0.3">
      <c r="A113" s="114">
        <v>102</v>
      </c>
      <c r="B113" s="174" t="s">
        <v>680</v>
      </c>
      <c r="C113" s="186" t="s">
        <v>445</v>
      </c>
      <c r="D113" s="213" t="s">
        <v>288</v>
      </c>
      <c r="E113" s="213" t="s">
        <v>264</v>
      </c>
      <c r="F113" s="186" t="s">
        <v>442</v>
      </c>
      <c r="G113" s="197" t="s">
        <v>145</v>
      </c>
      <c r="H113" s="210" t="s">
        <v>146</v>
      </c>
      <c r="I113" s="214">
        <v>1</v>
      </c>
      <c r="J113" s="215" t="s">
        <v>446</v>
      </c>
      <c r="K113" s="215">
        <v>40</v>
      </c>
      <c r="L113" s="215">
        <v>8.14</v>
      </c>
      <c r="M113" s="215" t="s">
        <v>438</v>
      </c>
      <c r="N113" s="215" t="s">
        <v>218</v>
      </c>
      <c r="O113" s="215" t="s">
        <v>219</v>
      </c>
      <c r="P113" s="215" t="s">
        <v>218</v>
      </c>
      <c r="Q113" s="215" t="s">
        <v>219</v>
      </c>
      <c r="R113" s="215" t="s">
        <v>296</v>
      </c>
      <c r="S113" s="215" t="s">
        <v>219</v>
      </c>
      <c r="T113" s="215" t="s">
        <v>444</v>
      </c>
      <c r="U113" s="214">
        <v>1812.54</v>
      </c>
      <c r="V113" s="214">
        <v>1837.82</v>
      </c>
      <c r="W113" s="225">
        <v>292.17</v>
      </c>
      <c r="X113" s="217" t="s">
        <v>207</v>
      </c>
      <c r="Y113" s="225">
        <v>197.37</v>
      </c>
      <c r="Z113" s="217" t="s">
        <v>207</v>
      </c>
      <c r="AA113" s="225">
        <v>291.48</v>
      </c>
      <c r="AB113" s="217" t="s">
        <v>207</v>
      </c>
      <c r="AC113" s="225">
        <v>189.82</v>
      </c>
      <c r="AD113" s="217" t="s">
        <v>207</v>
      </c>
      <c r="AE113" s="225">
        <v>72.510000000000005</v>
      </c>
      <c r="AF113" s="217" t="s">
        <v>207</v>
      </c>
      <c r="AG113" s="225">
        <v>48.52</v>
      </c>
      <c r="AH113" s="217" t="s">
        <v>207</v>
      </c>
      <c r="AI113" s="225">
        <v>39.21</v>
      </c>
      <c r="AJ113" s="217" t="s">
        <v>207</v>
      </c>
      <c r="AK113" s="225">
        <v>44.11</v>
      </c>
      <c r="AL113" s="217" t="s">
        <v>207</v>
      </c>
      <c r="AM113" s="225">
        <v>53.57</v>
      </c>
      <c r="AN113" s="217" t="s">
        <v>207</v>
      </c>
      <c r="AO113" s="225">
        <v>187.66</v>
      </c>
      <c r="AP113" s="217" t="s">
        <v>207</v>
      </c>
      <c r="AQ113" s="225">
        <v>165.74</v>
      </c>
      <c r="AR113" s="217" t="s">
        <v>207</v>
      </c>
      <c r="AS113" s="225">
        <v>219.2</v>
      </c>
      <c r="AT113" s="217" t="s">
        <v>207</v>
      </c>
      <c r="AU113" s="196">
        <f t="shared" si="1"/>
        <v>1801.36</v>
      </c>
      <c r="AV113" s="214">
        <v>0.96</v>
      </c>
      <c r="AW113" s="186" t="str">
        <f t="shared" si="5"/>
        <v>150/70</v>
      </c>
      <c r="AX113" s="186" t="str">
        <f t="shared" si="6"/>
        <v>зависимая</v>
      </c>
      <c r="AY113" s="186">
        <f t="shared" si="7"/>
        <v>1</v>
      </c>
      <c r="AZ113" s="186" t="s">
        <v>440</v>
      </c>
    </row>
    <row r="114" spans="1:52" s="208" customFormat="1" ht="15" customHeight="1" x14ac:dyDescent="0.3">
      <c r="A114" s="114">
        <v>103</v>
      </c>
      <c r="B114" s="174" t="s">
        <v>681</v>
      </c>
      <c r="C114" s="186" t="s">
        <v>445</v>
      </c>
      <c r="D114" s="213" t="s">
        <v>288</v>
      </c>
      <c r="E114" s="213" t="s">
        <v>264</v>
      </c>
      <c r="F114" s="186" t="s">
        <v>442</v>
      </c>
      <c r="G114" s="197" t="s">
        <v>145</v>
      </c>
      <c r="H114" s="210" t="s">
        <v>146</v>
      </c>
      <c r="I114" s="214">
        <v>1</v>
      </c>
      <c r="J114" s="215" t="s">
        <v>446</v>
      </c>
      <c r="K114" s="215">
        <v>40</v>
      </c>
      <c r="L114" s="215">
        <v>8.14</v>
      </c>
      <c r="M114" s="215" t="s">
        <v>438</v>
      </c>
      <c r="N114" s="215" t="s">
        <v>218</v>
      </c>
      <c r="O114" s="215" t="s">
        <v>219</v>
      </c>
      <c r="P114" s="215" t="s">
        <v>218</v>
      </c>
      <c r="Q114" s="215" t="s">
        <v>219</v>
      </c>
      <c r="R114" s="215" t="s">
        <v>296</v>
      </c>
      <c r="S114" s="215" t="s">
        <v>219</v>
      </c>
      <c r="T114" s="215" t="s">
        <v>444</v>
      </c>
      <c r="U114" s="214">
        <v>1548.25</v>
      </c>
      <c r="V114" s="214">
        <v>1577.62</v>
      </c>
      <c r="W114" s="225">
        <v>206.42</v>
      </c>
      <c r="X114" s="217" t="s">
        <v>207</v>
      </c>
      <c r="Y114" s="225">
        <v>189.71</v>
      </c>
      <c r="Z114" s="217" t="s">
        <v>207</v>
      </c>
      <c r="AA114" s="225">
        <v>201.84</v>
      </c>
      <c r="AB114" s="217" t="s">
        <v>207</v>
      </c>
      <c r="AC114" s="225">
        <v>151.68</v>
      </c>
      <c r="AD114" s="217" t="s">
        <v>207</v>
      </c>
      <c r="AE114" s="225">
        <v>56.09</v>
      </c>
      <c r="AF114" s="217" t="s">
        <v>207</v>
      </c>
      <c r="AG114" s="225">
        <v>37.03</v>
      </c>
      <c r="AH114" s="217" t="s">
        <v>207</v>
      </c>
      <c r="AI114" s="225">
        <v>34.479999999999997</v>
      </c>
      <c r="AJ114" s="217" t="s">
        <v>207</v>
      </c>
      <c r="AK114" s="225">
        <v>36.909999999999997</v>
      </c>
      <c r="AL114" s="217" t="s">
        <v>207</v>
      </c>
      <c r="AM114" s="225">
        <v>43.26</v>
      </c>
      <c r="AN114" s="217" t="s">
        <v>207</v>
      </c>
      <c r="AO114" s="225">
        <v>143</v>
      </c>
      <c r="AP114" s="217" t="s">
        <v>207</v>
      </c>
      <c r="AQ114" s="225">
        <v>126.17</v>
      </c>
      <c r="AR114" s="217" t="s">
        <v>207</v>
      </c>
      <c r="AS114" s="225">
        <v>162.30000000000001</v>
      </c>
      <c r="AT114" s="217" t="s">
        <v>207</v>
      </c>
      <c r="AU114" s="196">
        <f t="shared" ref="AU114:AU143" si="8">SUM(W114,Y114,AA114,AC114,AE114,AG114,AI114,AK114,AM114,AO114,AQ114,AS114)</f>
        <v>1388.89</v>
      </c>
      <c r="AV114" s="214">
        <v>0.62</v>
      </c>
      <c r="AW114" s="186" t="str">
        <f t="shared" si="5"/>
        <v>150/70</v>
      </c>
      <c r="AX114" s="186" t="str">
        <f t="shared" si="6"/>
        <v>зависимая</v>
      </c>
      <c r="AY114" s="186">
        <f t="shared" si="7"/>
        <v>1</v>
      </c>
      <c r="AZ114" s="186" t="s">
        <v>440</v>
      </c>
    </row>
    <row r="115" spans="1:52" s="208" customFormat="1" ht="15" customHeight="1" x14ac:dyDescent="0.3">
      <c r="A115" s="73">
        <v>104</v>
      </c>
      <c r="B115" s="174" t="s">
        <v>682</v>
      </c>
      <c r="C115" s="186" t="s">
        <v>445</v>
      </c>
      <c r="D115" s="213" t="s">
        <v>288</v>
      </c>
      <c r="E115" s="213" t="s">
        <v>264</v>
      </c>
      <c r="F115" s="186" t="s">
        <v>442</v>
      </c>
      <c r="G115" s="197" t="s">
        <v>145</v>
      </c>
      <c r="H115" s="210" t="s">
        <v>146</v>
      </c>
      <c r="I115" s="214">
        <v>2</v>
      </c>
      <c r="J115" s="215" t="s">
        <v>446</v>
      </c>
      <c r="K115" s="215">
        <v>80</v>
      </c>
      <c r="L115" s="215">
        <v>7.8</v>
      </c>
      <c r="M115" s="215" t="s">
        <v>438</v>
      </c>
      <c r="N115" s="215" t="s">
        <v>218</v>
      </c>
      <c r="O115" s="215" t="s">
        <v>219</v>
      </c>
      <c r="P115" s="215" t="s">
        <v>218</v>
      </c>
      <c r="Q115" s="215" t="s">
        <v>219</v>
      </c>
      <c r="R115" s="215" t="s">
        <v>296</v>
      </c>
      <c r="S115" s="215" t="s">
        <v>219</v>
      </c>
      <c r="T115" s="215" t="s">
        <v>444</v>
      </c>
      <c r="U115" s="214">
        <v>3686.14</v>
      </c>
      <c r="V115" s="214">
        <v>3694.46</v>
      </c>
      <c r="W115" s="225">
        <v>618.11</v>
      </c>
      <c r="X115" s="217" t="s">
        <v>207</v>
      </c>
      <c r="Y115" s="225">
        <v>418.61</v>
      </c>
      <c r="Z115" s="217" t="s">
        <v>207</v>
      </c>
      <c r="AA115" s="225">
        <v>550.33000000000004</v>
      </c>
      <c r="AB115" s="217" t="s">
        <v>207</v>
      </c>
      <c r="AC115" s="225">
        <v>354.83</v>
      </c>
      <c r="AD115" s="217" t="s">
        <v>207</v>
      </c>
      <c r="AE115" s="225">
        <v>118.08</v>
      </c>
      <c r="AF115" s="217" t="s">
        <v>207</v>
      </c>
      <c r="AG115" s="225">
        <v>83.48</v>
      </c>
      <c r="AH115" s="217" t="s">
        <v>207</v>
      </c>
      <c r="AI115" s="225">
        <v>73.94</v>
      </c>
      <c r="AJ115" s="217" t="s">
        <v>207</v>
      </c>
      <c r="AK115" s="225">
        <v>68.430000000000007</v>
      </c>
      <c r="AL115" s="217" t="s">
        <v>207</v>
      </c>
      <c r="AM115" s="225">
        <v>72.27</v>
      </c>
      <c r="AN115" s="217" t="s">
        <v>207</v>
      </c>
      <c r="AO115" s="225">
        <v>384.47</v>
      </c>
      <c r="AP115" s="217" t="s">
        <v>207</v>
      </c>
      <c r="AQ115" s="225">
        <v>354.01</v>
      </c>
      <c r="AR115" s="217" t="s">
        <v>207</v>
      </c>
      <c r="AS115" s="225">
        <v>443.87</v>
      </c>
      <c r="AT115" s="217" t="s">
        <v>207</v>
      </c>
      <c r="AU115" s="196">
        <f t="shared" si="8"/>
        <v>3540.4300000000003</v>
      </c>
      <c r="AV115" s="214">
        <v>2.0499999999999998</v>
      </c>
      <c r="AW115" s="186" t="str">
        <f t="shared" si="5"/>
        <v>150/70</v>
      </c>
      <c r="AX115" s="186" t="str">
        <f t="shared" si="6"/>
        <v>зависимая</v>
      </c>
      <c r="AY115" s="186">
        <f t="shared" si="7"/>
        <v>2</v>
      </c>
      <c r="AZ115" s="186" t="s">
        <v>440</v>
      </c>
    </row>
    <row r="116" spans="1:52" s="208" customFormat="1" ht="15" customHeight="1" x14ac:dyDescent="0.3">
      <c r="A116" s="114">
        <v>105</v>
      </c>
      <c r="B116" s="174" t="s">
        <v>683</v>
      </c>
      <c r="C116" s="186" t="s">
        <v>445</v>
      </c>
      <c r="D116" s="213" t="s">
        <v>288</v>
      </c>
      <c r="E116" s="213" t="s">
        <v>264</v>
      </c>
      <c r="F116" s="186" t="s">
        <v>442</v>
      </c>
      <c r="G116" s="197" t="s">
        <v>145</v>
      </c>
      <c r="H116" s="210" t="s">
        <v>146</v>
      </c>
      <c r="I116" s="214">
        <v>1</v>
      </c>
      <c r="J116" s="215" t="s">
        <v>446</v>
      </c>
      <c r="K116" s="215">
        <v>50</v>
      </c>
      <c r="L116" s="215">
        <v>8.14</v>
      </c>
      <c r="M116" s="215" t="s">
        <v>438</v>
      </c>
      <c r="N116" s="215" t="s">
        <v>218</v>
      </c>
      <c r="O116" s="215" t="s">
        <v>219</v>
      </c>
      <c r="P116" s="215" t="s">
        <v>218</v>
      </c>
      <c r="Q116" s="215" t="s">
        <v>219</v>
      </c>
      <c r="R116" s="215" t="s">
        <v>296</v>
      </c>
      <c r="S116" s="215" t="s">
        <v>219</v>
      </c>
      <c r="T116" s="186" t="s">
        <v>479</v>
      </c>
      <c r="U116" s="214">
        <v>1957.74</v>
      </c>
      <c r="V116" s="214">
        <v>1870.06</v>
      </c>
      <c r="W116" s="225">
        <v>312</v>
      </c>
      <c r="X116" s="217" t="s">
        <v>207</v>
      </c>
      <c r="Y116" s="225">
        <v>229.68</v>
      </c>
      <c r="Z116" s="217" t="s">
        <v>207</v>
      </c>
      <c r="AA116" s="225">
        <v>300.74</v>
      </c>
      <c r="AB116" s="217" t="s">
        <v>207</v>
      </c>
      <c r="AC116" s="225">
        <v>191.74</v>
      </c>
      <c r="AD116" s="217" t="s">
        <v>207</v>
      </c>
      <c r="AE116" s="225">
        <v>88.46</v>
      </c>
      <c r="AF116" s="217" t="s">
        <v>207</v>
      </c>
      <c r="AG116" s="225">
        <v>59.66</v>
      </c>
      <c r="AH116" s="217" t="s">
        <v>207</v>
      </c>
      <c r="AI116" s="225">
        <v>42.13</v>
      </c>
      <c r="AJ116" s="217" t="s">
        <v>207</v>
      </c>
      <c r="AK116" s="225">
        <v>48.68</v>
      </c>
      <c r="AL116" s="217" t="s">
        <v>207</v>
      </c>
      <c r="AM116" s="225">
        <v>65.83</v>
      </c>
      <c r="AN116" s="217" t="s">
        <v>207</v>
      </c>
      <c r="AO116" s="225">
        <v>204.53</v>
      </c>
      <c r="AP116" s="217" t="s">
        <v>207</v>
      </c>
      <c r="AQ116" s="225">
        <v>167.13</v>
      </c>
      <c r="AR116" s="217" t="s">
        <v>207</v>
      </c>
      <c r="AS116" s="225">
        <v>244.54</v>
      </c>
      <c r="AT116" s="217" t="s">
        <v>207</v>
      </c>
      <c r="AU116" s="196">
        <f t="shared" si="8"/>
        <v>1955.1200000000003</v>
      </c>
      <c r="AV116" s="214">
        <v>0.84</v>
      </c>
      <c r="AW116" s="186" t="str">
        <f t="shared" si="5"/>
        <v>150/70</v>
      </c>
      <c r="AX116" s="186" t="str">
        <f t="shared" si="6"/>
        <v>зависимая</v>
      </c>
      <c r="AY116" s="186">
        <f t="shared" si="7"/>
        <v>1</v>
      </c>
      <c r="AZ116" s="186" t="s">
        <v>440</v>
      </c>
    </row>
    <row r="117" spans="1:52" s="208" customFormat="1" ht="15" customHeight="1" x14ac:dyDescent="0.3">
      <c r="A117" s="114">
        <v>106</v>
      </c>
      <c r="B117" s="174" t="s">
        <v>684</v>
      </c>
      <c r="C117" s="186" t="s">
        <v>445</v>
      </c>
      <c r="D117" s="213" t="s">
        <v>288</v>
      </c>
      <c r="E117" s="213" t="s">
        <v>264</v>
      </c>
      <c r="F117" s="186" t="s">
        <v>442</v>
      </c>
      <c r="G117" s="197" t="s">
        <v>145</v>
      </c>
      <c r="H117" s="210" t="s">
        <v>146</v>
      </c>
      <c r="I117" s="214">
        <v>2</v>
      </c>
      <c r="J117" s="215" t="s">
        <v>446</v>
      </c>
      <c r="K117" s="215">
        <v>50</v>
      </c>
      <c r="L117" s="215">
        <v>7.93</v>
      </c>
      <c r="M117" s="215" t="s">
        <v>438</v>
      </c>
      <c r="N117" s="215" t="s">
        <v>218</v>
      </c>
      <c r="O117" s="215" t="s">
        <v>219</v>
      </c>
      <c r="P117" s="215" t="s">
        <v>218</v>
      </c>
      <c r="Q117" s="215" t="s">
        <v>219</v>
      </c>
      <c r="R117" s="215" t="s">
        <v>296</v>
      </c>
      <c r="S117" s="215" t="s">
        <v>219</v>
      </c>
      <c r="T117" s="215" t="s">
        <v>444</v>
      </c>
      <c r="U117" s="214">
        <v>2291.08</v>
      </c>
      <c r="V117" s="226">
        <v>2237.6</v>
      </c>
      <c r="W117" s="213">
        <v>363.19</v>
      </c>
      <c r="X117" s="217" t="s">
        <v>207</v>
      </c>
      <c r="Y117" s="213">
        <v>204.09</v>
      </c>
      <c r="Z117" s="217" t="s">
        <v>207</v>
      </c>
      <c r="AA117" s="213">
        <v>342.78</v>
      </c>
      <c r="AB117" s="217" t="s">
        <v>207</v>
      </c>
      <c r="AC117" s="213">
        <v>219.26</v>
      </c>
      <c r="AD117" s="217" t="s">
        <v>207</v>
      </c>
      <c r="AE117" s="213">
        <v>67.260000000000005</v>
      </c>
      <c r="AF117" s="217" t="s">
        <v>207</v>
      </c>
      <c r="AG117" s="213">
        <v>54.99</v>
      </c>
      <c r="AH117" s="217" t="s">
        <v>207</v>
      </c>
      <c r="AI117" s="213">
        <v>52.41</v>
      </c>
      <c r="AJ117" s="217" t="s">
        <v>207</v>
      </c>
      <c r="AK117" s="213">
        <v>53.16</v>
      </c>
      <c r="AL117" s="217" t="s">
        <v>207</v>
      </c>
      <c r="AM117" s="213">
        <v>64.12</v>
      </c>
      <c r="AN117" s="217" t="s">
        <v>207</v>
      </c>
      <c r="AO117" s="213">
        <v>190.59</v>
      </c>
      <c r="AP117" s="217" t="s">
        <v>207</v>
      </c>
      <c r="AQ117" s="213">
        <v>223.24</v>
      </c>
      <c r="AR117" s="217" t="s">
        <v>207</v>
      </c>
      <c r="AS117" s="213">
        <v>241.88</v>
      </c>
      <c r="AT117" s="217" t="s">
        <v>207</v>
      </c>
      <c r="AU117" s="196">
        <f t="shared" si="8"/>
        <v>2076.9700000000003</v>
      </c>
      <c r="AV117" s="214">
        <f>0.325+0.205+0.325+0.205</f>
        <v>1.06</v>
      </c>
      <c r="AW117" s="186" t="str">
        <f t="shared" si="5"/>
        <v>150/70</v>
      </c>
      <c r="AX117" s="186" t="str">
        <f t="shared" si="6"/>
        <v>зависимая</v>
      </c>
      <c r="AY117" s="186">
        <f t="shared" si="7"/>
        <v>2</v>
      </c>
      <c r="AZ117" s="186" t="s">
        <v>440</v>
      </c>
    </row>
    <row r="118" spans="1:52" s="208" customFormat="1" ht="15" customHeight="1" x14ac:dyDescent="0.3">
      <c r="A118" s="114">
        <v>107</v>
      </c>
      <c r="B118" s="174" t="s">
        <v>685</v>
      </c>
      <c r="C118" s="186" t="s">
        <v>445</v>
      </c>
      <c r="D118" s="213" t="s">
        <v>288</v>
      </c>
      <c r="E118" s="213" t="s">
        <v>264</v>
      </c>
      <c r="F118" s="186" t="s">
        <v>442</v>
      </c>
      <c r="G118" s="197" t="s">
        <v>145</v>
      </c>
      <c r="H118" s="210" t="s">
        <v>146</v>
      </c>
      <c r="I118" s="214">
        <v>2</v>
      </c>
      <c r="J118" s="215" t="s">
        <v>446</v>
      </c>
      <c r="K118" s="215">
        <v>80</v>
      </c>
      <c r="L118" s="215">
        <v>8</v>
      </c>
      <c r="M118" s="215" t="s">
        <v>438</v>
      </c>
      <c r="N118" s="215" t="s">
        <v>218</v>
      </c>
      <c r="O118" s="215" t="s">
        <v>219</v>
      </c>
      <c r="P118" s="215" t="s">
        <v>218</v>
      </c>
      <c r="Q118" s="215" t="s">
        <v>219</v>
      </c>
      <c r="R118" s="215" t="s">
        <v>296</v>
      </c>
      <c r="S118" s="215" t="s">
        <v>219</v>
      </c>
      <c r="T118" s="186" t="s">
        <v>480</v>
      </c>
      <c r="U118" s="214"/>
      <c r="V118" s="214"/>
      <c r="W118" s="213"/>
      <c r="X118" s="217"/>
      <c r="Y118" s="213"/>
      <c r="Z118" s="217"/>
      <c r="AA118" s="213"/>
      <c r="AB118" s="217"/>
      <c r="AC118" s="213"/>
      <c r="AD118" s="217"/>
      <c r="AE118" s="213"/>
      <c r="AF118" s="217"/>
      <c r="AG118" s="213"/>
      <c r="AH118" s="217"/>
      <c r="AI118" s="213"/>
      <c r="AJ118" s="217"/>
      <c r="AK118" s="213"/>
      <c r="AL118" s="217"/>
      <c r="AM118" s="213">
        <v>131.08000000000001</v>
      </c>
      <c r="AN118" s="217" t="s">
        <v>207</v>
      </c>
      <c r="AO118" s="213">
        <v>398.94</v>
      </c>
      <c r="AP118" s="217" t="s">
        <v>207</v>
      </c>
      <c r="AQ118" s="213">
        <v>481.96</v>
      </c>
      <c r="AR118" s="217" t="s">
        <v>207</v>
      </c>
      <c r="AS118" s="213">
        <v>580.16999999999996</v>
      </c>
      <c r="AT118" s="217" t="s">
        <v>207</v>
      </c>
      <c r="AU118" s="196">
        <f t="shared" si="8"/>
        <v>1592.15</v>
      </c>
      <c r="AV118" s="214">
        <f>0.8+0.45+0.8+0.45</f>
        <v>2.5</v>
      </c>
      <c r="AW118" s="186" t="str">
        <f t="shared" si="5"/>
        <v>150/70</v>
      </c>
      <c r="AX118" s="186" t="str">
        <f t="shared" si="6"/>
        <v>зависимая</v>
      </c>
      <c r="AY118" s="186">
        <f t="shared" si="7"/>
        <v>2</v>
      </c>
      <c r="AZ118" s="186" t="s">
        <v>440</v>
      </c>
    </row>
    <row r="119" spans="1:52" s="227" customFormat="1" ht="15" customHeight="1" x14ac:dyDescent="0.3">
      <c r="A119" s="73">
        <v>108</v>
      </c>
      <c r="B119" s="174" t="s">
        <v>686</v>
      </c>
      <c r="C119" s="186" t="s">
        <v>445</v>
      </c>
      <c r="D119" s="213" t="s">
        <v>288</v>
      </c>
      <c r="E119" s="213" t="s">
        <v>264</v>
      </c>
      <c r="F119" s="186" t="s">
        <v>442</v>
      </c>
      <c r="G119" s="197" t="s">
        <v>145</v>
      </c>
      <c r="H119" s="210" t="s">
        <v>146</v>
      </c>
      <c r="I119" s="214">
        <v>2</v>
      </c>
      <c r="J119" s="215" t="s">
        <v>446</v>
      </c>
      <c r="K119" s="215">
        <v>32</v>
      </c>
      <c r="L119" s="215">
        <v>7.93</v>
      </c>
      <c r="M119" s="215" t="s">
        <v>438</v>
      </c>
      <c r="N119" s="215" t="s">
        <v>218</v>
      </c>
      <c r="O119" s="215" t="s">
        <v>219</v>
      </c>
      <c r="P119" s="215" t="s">
        <v>218</v>
      </c>
      <c r="Q119" s="215" t="s">
        <v>219</v>
      </c>
      <c r="R119" s="215" t="s">
        <v>296</v>
      </c>
      <c r="S119" s="215" t="s">
        <v>219</v>
      </c>
      <c r="T119" s="186" t="s">
        <v>481</v>
      </c>
      <c r="U119" s="214">
        <v>1655.32</v>
      </c>
      <c r="V119" s="214">
        <v>1822.1</v>
      </c>
      <c r="W119" s="213">
        <f>137.76+144.66</f>
        <v>282.41999999999996</v>
      </c>
      <c r="X119" s="217" t="s">
        <v>207</v>
      </c>
      <c r="Y119" s="213">
        <f>103.65+110.7</f>
        <v>214.35000000000002</v>
      </c>
      <c r="Z119" s="217" t="s">
        <v>207</v>
      </c>
      <c r="AA119" s="213">
        <f>139.52+140.58</f>
        <v>280.10000000000002</v>
      </c>
      <c r="AB119" s="217" t="s">
        <v>207</v>
      </c>
      <c r="AC119" s="213">
        <f>84.92+90.07</f>
        <v>174.99</v>
      </c>
      <c r="AD119" s="217" t="s">
        <v>207</v>
      </c>
      <c r="AE119" s="213">
        <f>21.18+15.67+15.91+25.45</f>
        <v>78.210000000000008</v>
      </c>
      <c r="AF119" s="217" t="s">
        <v>207</v>
      </c>
      <c r="AG119" s="213">
        <f>18.32+21.34</f>
        <v>39.659999999999997</v>
      </c>
      <c r="AH119" s="217" t="s">
        <v>207</v>
      </c>
      <c r="AI119" s="213">
        <f>18.3+19.42</f>
        <v>37.72</v>
      </c>
      <c r="AJ119" s="217" t="s">
        <v>207</v>
      </c>
      <c r="AK119" s="213">
        <f>18.75+15.51</f>
        <v>34.26</v>
      </c>
      <c r="AL119" s="217" t="s">
        <v>207</v>
      </c>
      <c r="AM119" s="213">
        <f>21.18+21.33</f>
        <v>42.51</v>
      </c>
      <c r="AN119" s="217" t="s">
        <v>207</v>
      </c>
      <c r="AO119" s="213">
        <v>178.16</v>
      </c>
      <c r="AP119" s="217" t="s">
        <v>207</v>
      </c>
      <c r="AQ119" s="213">
        <v>162.15</v>
      </c>
      <c r="AR119" s="217" t="s">
        <v>207</v>
      </c>
      <c r="AS119" s="213">
        <v>191.03</v>
      </c>
      <c r="AT119" s="217" t="s">
        <v>207</v>
      </c>
      <c r="AU119" s="196">
        <f t="shared" si="8"/>
        <v>1715.5600000000002</v>
      </c>
      <c r="AV119" s="214">
        <f>0.25+0.16+0.25+0.16</f>
        <v>0.82000000000000006</v>
      </c>
      <c r="AW119" s="186" t="str">
        <f t="shared" si="5"/>
        <v>150/70</v>
      </c>
      <c r="AX119" s="186" t="str">
        <f t="shared" si="6"/>
        <v>зависимая</v>
      </c>
      <c r="AY119" s="186">
        <f t="shared" si="7"/>
        <v>2</v>
      </c>
      <c r="AZ119" s="186" t="s">
        <v>440</v>
      </c>
    </row>
    <row r="120" spans="1:52" s="208" customFormat="1" ht="15" customHeight="1" x14ac:dyDescent="0.3">
      <c r="A120" s="114">
        <v>109</v>
      </c>
      <c r="B120" s="174" t="s">
        <v>687</v>
      </c>
      <c r="C120" s="186" t="s">
        <v>445</v>
      </c>
      <c r="D120" s="213" t="s">
        <v>288</v>
      </c>
      <c r="E120" s="213" t="s">
        <v>264</v>
      </c>
      <c r="F120" s="186" t="s">
        <v>442</v>
      </c>
      <c r="G120" s="197" t="s">
        <v>145</v>
      </c>
      <c r="H120" s="210" t="s">
        <v>146</v>
      </c>
      <c r="I120" s="214">
        <v>2</v>
      </c>
      <c r="J120" s="215" t="s">
        <v>446</v>
      </c>
      <c r="K120" s="215">
        <v>50</v>
      </c>
      <c r="L120" s="215">
        <v>7.93</v>
      </c>
      <c r="M120" s="215" t="s">
        <v>438</v>
      </c>
      <c r="N120" s="215" t="s">
        <v>218</v>
      </c>
      <c r="O120" s="215" t="s">
        <v>219</v>
      </c>
      <c r="P120" s="215" t="s">
        <v>218</v>
      </c>
      <c r="Q120" s="215" t="s">
        <v>219</v>
      </c>
      <c r="R120" s="215" t="s">
        <v>296</v>
      </c>
      <c r="S120" s="215" t="s">
        <v>219</v>
      </c>
      <c r="T120" s="186" t="s">
        <v>482</v>
      </c>
      <c r="U120" s="214">
        <v>3011.43</v>
      </c>
      <c r="V120" s="214">
        <v>2841.66</v>
      </c>
      <c r="W120" s="213">
        <v>526.63</v>
      </c>
      <c r="X120" s="217" t="s">
        <v>207</v>
      </c>
      <c r="Y120" s="213">
        <v>330.23</v>
      </c>
      <c r="Z120" s="217" t="s">
        <v>207</v>
      </c>
      <c r="AA120" s="213">
        <v>447.92</v>
      </c>
      <c r="AB120" s="217" t="s">
        <v>207</v>
      </c>
      <c r="AC120" s="213">
        <v>317.68</v>
      </c>
      <c r="AD120" s="217" t="s">
        <v>207</v>
      </c>
      <c r="AE120" s="213">
        <v>139.19</v>
      </c>
      <c r="AF120" s="217" t="s">
        <v>207</v>
      </c>
      <c r="AG120" s="213">
        <v>68.37</v>
      </c>
      <c r="AH120" s="217" t="s">
        <v>207</v>
      </c>
      <c r="AI120" s="213">
        <v>68.13</v>
      </c>
      <c r="AJ120" s="217" t="s">
        <v>207</v>
      </c>
      <c r="AK120" s="213">
        <v>70.92</v>
      </c>
      <c r="AL120" s="217" t="s">
        <v>207</v>
      </c>
      <c r="AM120" s="213">
        <v>88.6</v>
      </c>
      <c r="AN120" s="217" t="s">
        <v>207</v>
      </c>
      <c r="AO120" s="213">
        <v>343.66</v>
      </c>
      <c r="AP120" s="217" t="s">
        <v>207</v>
      </c>
      <c r="AQ120" s="213">
        <v>298.75</v>
      </c>
      <c r="AR120" s="217" t="s">
        <v>207</v>
      </c>
      <c r="AS120" s="213">
        <v>384.91</v>
      </c>
      <c r="AT120" s="217" t="s">
        <v>207</v>
      </c>
      <c r="AU120" s="196">
        <f t="shared" si="8"/>
        <v>3084.99</v>
      </c>
      <c r="AV120" s="214">
        <f>0.48+0.329+0.48+0.33</f>
        <v>1.619</v>
      </c>
      <c r="AW120" s="186" t="str">
        <f t="shared" si="5"/>
        <v>150/70</v>
      </c>
      <c r="AX120" s="186" t="str">
        <f t="shared" si="6"/>
        <v>зависимая</v>
      </c>
      <c r="AY120" s="186">
        <f t="shared" si="7"/>
        <v>2</v>
      </c>
      <c r="AZ120" s="186" t="s">
        <v>440</v>
      </c>
    </row>
    <row r="121" spans="1:52" s="208" customFormat="1" ht="15" customHeight="1" x14ac:dyDescent="0.3">
      <c r="A121" s="114">
        <v>110</v>
      </c>
      <c r="B121" s="174" t="s">
        <v>688</v>
      </c>
      <c r="C121" s="173" t="s">
        <v>435</v>
      </c>
      <c r="D121" s="196" t="s">
        <v>288</v>
      </c>
      <c r="E121" s="196" t="s">
        <v>205</v>
      </c>
      <c r="F121" s="173" t="s">
        <v>447</v>
      </c>
      <c r="G121" s="197" t="s">
        <v>145</v>
      </c>
      <c r="H121" s="198" t="s">
        <v>146</v>
      </c>
      <c r="I121" s="199">
        <v>2</v>
      </c>
      <c r="J121" s="200" t="s">
        <v>437</v>
      </c>
      <c r="K121" s="201">
        <v>50</v>
      </c>
      <c r="L121" s="202">
        <v>7.93</v>
      </c>
      <c r="M121" s="200" t="s">
        <v>438</v>
      </c>
      <c r="N121" s="200" t="s">
        <v>218</v>
      </c>
      <c r="O121" s="200" t="s">
        <v>219</v>
      </c>
      <c r="P121" s="200" t="s">
        <v>218</v>
      </c>
      <c r="Q121" s="200" t="s">
        <v>219</v>
      </c>
      <c r="R121" s="200" t="s">
        <v>208</v>
      </c>
      <c r="S121" s="200" t="s">
        <v>219</v>
      </c>
      <c r="T121" s="200"/>
      <c r="U121" s="199">
        <v>4713.0119999999997</v>
      </c>
      <c r="V121" s="199">
        <v>4620.6000000000004</v>
      </c>
      <c r="W121" s="196">
        <v>842.78</v>
      </c>
      <c r="X121" s="196" t="s">
        <v>207</v>
      </c>
      <c r="Y121" s="196">
        <v>549.71</v>
      </c>
      <c r="Z121" s="196" t="s">
        <v>207</v>
      </c>
      <c r="AA121" s="196">
        <v>745.38</v>
      </c>
      <c r="AB121" s="196" t="s">
        <v>207</v>
      </c>
      <c r="AC121" s="196">
        <v>425.91</v>
      </c>
      <c r="AD121" s="196" t="s">
        <v>207</v>
      </c>
      <c r="AE121" s="196">
        <v>177.62</v>
      </c>
      <c r="AF121" s="196" t="s">
        <v>207</v>
      </c>
      <c r="AG121" s="196">
        <v>109.82</v>
      </c>
      <c r="AH121" s="196" t="s">
        <v>207</v>
      </c>
      <c r="AI121" s="196">
        <v>101.42</v>
      </c>
      <c r="AJ121" s="196" t="s">
        <v>207</v>
      </c>
      <c r="AK121" s="196">
        <v>100.91</v>
      </c>
      <c r="AL121" s="196" t="s">
        <v>207</v>
      </c>
      <c r="AM121" s="196">
        <v>133.69</v>
      </c>
      <c r="AN121" s="196" t="s">
        <v>207</v>
      </c>
      <c r="AO121" s="196">
        <v>481</v>
      </c>
      <c r="AP121" s="196" t="s">
        <v>207</v>
      </c>
      <c r="AQ121" s="196">
        <v>457.57</v>
      </c>
      <c r="AR121" s="196" t="s">
        <v>207</v>
      </c>
      <c r="AS121" s="196">
        <v>618.25</v>
      </c>
      <c r="AT121" s="196" t="s">
        <v>207</v>
      </c>
      <c r="AU121" s="196">
        <f t="shared" si="8"/>
        <v>4744.0599999999995</v>
      </c>
      <c r="AV121" s="199">
        <v>2.82</v>
      </c>
      <c r="AW121" s="196" t="s">
        <v>438</v>
      </c>
      <c r="AX121" s="173" t="s">
        <v>296</v>
      </c>
      <c r="AY121" s="196">
        <v>2</v>
      </c>
      <c r="AZ121" s="196" t="s">
        <v>440</v>
      </c>
    </row>
    <row r="122" spans="1:52" s="208" customFormat="1" ht="15" customHeight="1" x14ac:dyDescent="0.3">
      <c r="A122" s="114">
        <v>111</v>
      </c>
      <c r="B122" s="174" t="s">
        <v>689</v>
      </c>
      <c r="C122" s="173" t="s">
        <v>435</v>
      </c>
      <c r="D122" s="196" t="s">
        <v>288</v>
      </c>
      <c r="E122" s="196" t="s">
        <v>205</v>
      </c>
      <c r="F122" s="173" t="s">
        <v>447</v>
      </c>
      <c r="G122" s="197" t="s">
        <v>145</v>
      </c>
      <c r="H122" s="198" t="s">
        <v>146</v>
      </c>
      <c r="I122" s="199">
        <v>2</v>
      </c>
      <c r="J122" s="200" t="s">
        <v>437</v>
      </c>
      <c r="K122" s="201">
        <v>50</v>
      </c>
      <c r="L122" s="202">
        <v>7.93</v>
      </c>
      <c r="M122" s="200" t="s">
        <v>438</v>
      </c>
      <c r="N122" s="200" t="s">
        <v>218</v>
      </c>
      <c r="O122" s="200" t="s">
        <v>219</v>
      </c>
      <c r="P122" s="200" t="s">
        <v>218</v>
      </c>
      <c r="Q122" s="200" t="s">
        <v>219</v>
      </c>
      <c r="R122" s="200" t="s">
        <v>208</v>
      </c>
      <c r="S122" s="200" t="s">
        <v>219</v>
      </c>
      <c r="T122" s="200"/>
      <c r="U122" s="199">
        <v>3231.46</v>
      </c>
      <c r="V122" s="199">
        <v>3091.44</v>
      </c>
      <c r="W122" s="196">
        <v>514.48</v>
      </c>
      <c r="X122" s="196" t="s">
        <v>207</v>
      </c>
      <c r="Y122" s="196">
        <v>327.31</v>
      </c>
      <c r="Z122" s="196" t="s">
        <v>207</v>
      </c>
      <c r="AA122" s="196">
        <v>483.67</v>
      </c>
      <c r="AB122" s="196" t="s">
        <v>207</v>
      </c>
      <c r="AC122" s="196">
        <v>237.41</v>
      </c>
      <c r="AD122" s="196" t="s">
        <v>207</v>
      </c>
      <c r="AE122" s="196">
        <v>114.41</v>
      </c>
      <c r="AF122" s="196" t="s">
        <v>207</v>
      </c>
      <c r="AG122" s="196">
        <v>72.77</v>
      </c>
      <c r="AH122" s="196" t="s">
        <v>207</v>
      </c>
      <c r="AI122" s="196">
        <v>66.400000000000006</v>
      </c>
      <c r="AJ122" s="196" t="s">
        <v>207</v>
      </c>
      <c r="AK122" s="196">
        <v>60.42</v>
      </c>
      <c r="AL122" s="196" t="s">
        <v>207</v>
      </c>
      <c r="AM122" s="196">
        <v>80.31</v>
      </c>
      <c r="AN122" s="196" t="s">
        <v>207</v>
      </c>
      <c r="AO122" s="196">
        <v>326.66000000000003</v>
      </c>
      <c r="AP122" s="196" t="s">
        <v>207</v>
      </c>
      <c r="AQ122" s="196">
        <v>305.33</v>
      </c>
      <c r="AR122" s="196" t="s">
        <v>207</v>
      </c>
      <c r="AS122" s="196">
        <v>375.17</v>
      </c>
      <c r="AT122" s="196" t="s">
        <v>207</v>
      </c>
      <c r="AU122" s="196">
        <f t="shared" si="8"/>
        <v>2964.34</v>
      </c>
      <c r="AV122" s="199">
        <v>1.62</v>
      </c>
      <c r="AW122" s="196" t="s">
        <v>438</v>
      </c>
      <c r="AX122" s="173" t="s">
        <v>296</v>
      </c>
      <c r="AY122" s="196">
        <v>2</v>
      </c>
      <c r="AZ122" s="196" t="s">
        <v>440</v>
      </c>
    </row>
    <row r="123" spans="1:52" s="208" customFormat="1" ht="15" customHeight="1" x14ac:dyDescent="0.3">
      <c r="A123" s="73">
        <v>112</v>
      </c>
      <c r="B123" s="174" t="s">
        <v>690</v>
      </c>
      <c r="C123" s="186" t="s">
        <v>445</v>
      </c>
      <c r="D123" s="196" t="s">
        <v>288</v>
      </c>
      <c r="E123" s="196" t="s">
        <v>264</v>
      </c>
      <c r="F123" s="196" t="s">
        <v>442</v>
      </c>
      <c r="G123" s="197" t="s">
        <v>145</v>
      </c>
      <c r="H123" s="198" t="s">
        <v>146</v>
      </c>
      <c r="I123" s="199">
        <v>3</v>
      </c>
      <c r="J123" s="200" t="s">
        <v>446</v>
      </c>
      <c r="K123" s="200">
        <v>50</v>
      </c>
      <c r="L123" s="200">
        <v>7.93</v>
      </c>
      <c r="M123" s="200" t="s">
        <v>438</v>
      </c>
      <c r="N123" s="200" t="s">
        <v>218</v>
      </c>
      <c r="O123" s="200" t="s">
        <v>219</v>
      </c>
      <c r="P123" s="200" t="s">
        <v>218</v>
      </c>
      <c r="Q123" s="200" t="s">
        <v>219</v>
      </c>
      <c r="R123" s="200" t="s">
        <v>296</v>
      </c>
      <c r="S123" s="200" t="s">
        <v>219</v>
      </c>
      <c r="T123" s="200" t="s">
        <v>444</v>
      </c>
      <c r="U123" s="214">
        <v>4823.38</v>
      </c>
      <c r="V123" s="214">
        <v>4826.21</v>
      </c>
      <c r="W123" s="196">
        <v>755.57</v>
      </c>
      <c r="X123" s="173" t="s">
        <v>207</v>
      </c>
      <c r="Y123" s="196">
        <v>532.57000000000005</v>
      </c>
      <c r="Z123" s="173" t="s">
        <v>207</v>
      </c>
      <c r="AA123" s="196">
        <v>718.95</v>
      </c>
      <c r="AB123" s="173" t="s">
        <v>207</v>
      </c>
      <c r="AC123" s="196">
        <v>477.16</v>
      </c>
      <c r="AD123" s="173" t="s">
        <v>207</v>
      </c>
      <c r="AE123" s="196">
        <v>167.45</v>
      </c>
      <c r="AF123" s="173" t="s">
        <v>207</v>
      </c>
      <c r="AG123" s="196">
        <v>109.03</v>
      </c>
      <c r="AH123" s="173" t="s">
        <v>207</v>
      </c>
      <c r="AI123" s="196">
        <v>94.82</v>
      </c>
      <c r="AJ123" s="173" t="s">
        <v>207</v>
      </c>
      <c r="AK123" s="196">
        <v>100.19</v>
      </c>
      <c r="AL123" s="173" t="s">
        <v>207</v>
      </c>
      <c r="AM123" s="196">
        <v>128.5</v>
      </c>
      <c r="AN123" s="173" t="s">
        <v>207</v>
      </c>
      <c r="AO123" s="196">
        <v>404.57</v>
      </c>
      <c r="AP123" s="173" t="s">
        <v>207</v>
      </c>
      <c r="AQ123" s="196">
        <v>467.24</v>
      </c>
      <c r="AR123" s="173" t="s">
        <v>207</v>
      </c>
      <c r="AS123" s="196">
        <v>588.6</v>
      </c>
      <c r="AT123" s="173" t="s">
        <v>207</v>
      </c>
      <c r="AU123" s="196">
        <f t="shared" si="8"/>
        <v>4544.6500000000005</v>
      </c>
      <c r="AV123" s="199">
        <v>2.2799999999999998</v>
      </c>
      <c r="AW123" s="173" t="str">
        <f>M123</f>
        <v>150/70</v>
      </c>
      <c r="AX123" s="196" t="str">
        <f>R123</f>
        <v>зависимая</v>
      </c>
      <c r="AY123" s="196">
        <v>3</v>
      </c>
      <c r="AZ123" s="196" t="s">
        <v>440</v>
      </c>
    </row>
    <row r="124" spans="1:52" s="208" customFormat="1" ht="15" customHeight="1" x14ac:dyDescent="0.3">
      <c r="A124" s="114">
        <v>113</v>
      </c>
      <c r="B124" s="174" t="s">
        <v>691</v>
      </c>
      <c r="C124" s="196" t="s">
        <v>435</v>
      </c>
      <c r="D124" s="196" t="s">
        <v>288</v>
      </c>
      <c r="E124" s="196" t="s">
        <v>205</v>
      </c>
      <c r="F124" s="196" t="s">
        <v>447</v>
      </c>
      <c r="G124" s="197" t="s">
        <v>145</v>
      </c>
      <c r="H124" s="198" t="s">
        <v>146</v>
      </c>
      <c r="I124" s="199">
        <v>1</v>
      </c>
      <c r="J124" s="200" t="s">
        <v>437</v>
      </c>
      <c r="K124" s="201">
        <v>50</v>
      </c>
      <c r="L124" s="202">
        <v>7.4</v>
      </c>
      <c r="M124" s="200" t="s">
        <v>438</v>
      </c>
      <c r="N124" s="200" t="s">
        <v>218</v>
      </c>
      <c r="O124" s="200" t="s">
        <v>219</v>
      </c>
      <c r="P124" s="200" t="s">
        <v>218</v>
      </c>
      <c r="Q124" s="200" t="s">
        <v>219</v>
      </c>
      <c r="R124" s="200" t="s">
        <v>296</v>
      </c>
      <c r="S124" s="200" t="s">
        <v>219</v>
      </c>
      <c r="T124" s="200"/>
      <c r="U124" s="207">
        <v>2230.14</v>
      </c>
      <c r="V124" s="207">
        <v>1667.65</v>
      </c>
      <c r="W124" s="196">
        <v>287.51</v>
      </c>
      <c r="X124" s="196" t="s">
        <v>207</v>
      </c>
      <c r="Y124" s="196">
        <v>201.27</v>
      </c>
      <c r="Z124" s="196" t="s">
        <v>207</v>
      </c>
      <c r="AA124" s="196">
        <v>283.35000000000002</v>
      </c>
      <c r="AB124" s="196" t="s">
        <v>207</v>
      </c>
      <c r="AC124" s="196">
        <v>180.89</v>
      </c>
      <c r="AD124" s="196" t="s">
        <v>207</v>
      </c>
      <c r="AE124" s="196">
        <v>89.14</v>
      </c>
      <c r="AF124" s="196" t="s">
        <v>207</v>
      </c>
      <c r="AG124" s="196">
        <v>62.65</v>
      </c>
      <c r="AH124" s="196" t="s">
        <v>207</v>
      </c>
      <c r="AI124" s="196">
        <v>57.99</v>
      </c>
      <c r="AJ124" s="196" t="s">
        <v>207</v>
      </c>
      <c r="AK124" s="196">
        <v>57.05</v>
      </c>
      <c r="AL124" s="196" t="s">
        <v>207</v>
      </c>
      <c r="AM124" s="196">
        <v>77.53</v>
      </c>
      <c r="AN124" s="196" t="s">
        <v>207</v>
      </c>
      <c r="AO124" s="196">
        <v>209.05</v>
      </c>
      <c r="AP124" s="196" t="s">
        <v>207</v>
      </c>
      <c r="AQ124" s="196">
        <v>187.15</v>
      </c>
      <c r="AR124" s="196" t="s">
        <v>207</v>
      </c>
      <c r="AS124" s="196">
        <v>241.15</v>
      </c>
      <c r="AT124" s="196" t="s">
        <v>207</v>
      </c>
      <c r="AU124" s="196">
        <f t="shared" si="8"/>
        <v>1934.7300000000002</v>
      </c>
      <c r="AV124" s="199">
        <v>1.1599999999999999</v>
      </c>
      <c r="AW124" s="196" t="s">
        <v>438</v>
      </c>
      <c r="AX124" s="196" t="s">
        <v>296</v>
      </c>
      <c r="AY124" s="196">
        <v>1</v>
      </c>
      <c r="AZ124" s="196" t="s">
        <v>440</v>
      </c>
    </row>
    <row r="125" spans="1:52" s="208" customFormat="1" ht="15" customHeight="1" x14ac:dyDescent="0.3">
      <c r="A125" s="114">
        <v>114</v>
      </c>
      <c r="B125" s="174" t="s">
        <v>692</v>
      </c>
      <c r="C125" s="140" t="s">
        <v>445</v>
      </c>
      <c r="D125" s="199" t="s">
        <v>288</v>
      </c>
      <c r="E125" s="199" t="s">
        <v>264</v>
      </c>
      <c r="F125" s="199" t="s">
        <v>442</v>
      </c>
      <c r="G125" s="197" t="s">
        <v>145</v>
      </c>
      <c r="H125" s="198" t="s">
        <v>146</v>
      </c>
      <c r="I125" s="199">
        <v>1</v>
      </c>
      <c r="J125" s="198" t="s">
        <v>446</v>
      </c>
      <c r="K125" s="198">
        <v>80</v>
      </c>
      <c r="L125" s="198">
        <v>7.93</v>
      </c>
      <c r="M125" s="198" t="s">
        <v>438</v>
      </c>
      <c r="N125" s="198" t="s">
        <v>218</v>
      </c>
      <c r="O125" s="198" t="s">
        <v>219</v>
      </c>
      <c r="P125" s="198" t="s">
        <v>218</v>
      </c>
      <c r="Q125" s="198" t="s">
        <v>219</v>
      </c>
      <c r="R125" s="198" t="s">
        <v>296</v>
      </c>
      <c r="S125" s="198" t="s">
        <v>219</v>
      </c>
      <c r="T125" s="204" t="s">
        <v>483</v>
      </c>
      <c r="U125" s="199">
        <v>3137.6</v>
      </c>
      <c r="V125" s="199">
        <v>3037.29</v>
      </c>
      <c r="W125" s="199">
        <v>418.09</v>
      </c>
      <c r="X125" s="204" t="s">
        <v>456</v>
      </c>
      <c r="Y125" s="199">
        <v>418.09</v>
      </c>
      <c r="Z125" s="204" t="s">
        <v>456</v>
      </c>
      <c r="AA125" s="199">
        <v>384.49</v>
      </c>
      <c r="AB125" s="204" t="s">
        <v>456</v>
      </c>
      <c r="AC125" s="199">
        <v>338.74</v>
      </c>
      <c r="AD125" s="204" t="s">
        <v>207</v>
      </c>
      <c r="AE125" s="199">
        <v>133.49</v>
      </c>
      <c r="AF125" s="204" t="s">
        <v>207</v>
      </c>
      <c r="AG125" s="199">
        <v>80.36</v>
      </c>
      <c r="AH125" s="204" t="s">
        <v>207</v>
      </c>
      <c r="AI125" s="199">
        <v>74.099999999999994</v>
      </c>
      <c r="AJ125" s="204" t="s">
        <v>207</v>
      </c>
      <c r="AK125" s="199">
        <v>73.81</v>
      </c>
      <c r="AL125" s="204" t="s">
        <v>207</v>
      </c>
      <c r="AM125" s="199">
        <v>87.86</v>
      </c>
      <c r="AN125" s="204" t="s">
        <v>207</v>
      </c>
      <c r="AO125" s="199">
        <v>266.33999999999997</v>
      </c>
      <c r="AP125" s="204" t="s">
        <v>207</v>
      </c>
      <c r="AQ125" s="199">
        <v>331.23</v>
      </c>
      <c r="AR125" s="204" t="s">
        <v>207</v>
      </c>
      <c r="AS125" s="199">
        <v>415.49</v>
      </c>
      <c r="AT125" s="204" t="s">
        <v>207</v>
      </c>
      <c r="AU125" s="199">
        <f t="shared" si="8"/>
        <v>3022.09</v>
      </c>
      <c r="AV125" s="199">
        <v>1.85</v>
      </c>
      <c r="AW125" s="204" t="str">
        <f>M125</f>
        <v>150/70</v>
      </c>
      <c r="AX125" s="199" t="str">
        <f>R125</f>
        <v>зависимая</v>
      </c>
      <c r="AY125" s="199">
        <v>1</v>
      </c>
      <c r="AZ125" s="199" t="s">
        <v>440</v>
      </c>
    </row>
    <row r="126" spans="1:52" s="208" customFormat="1" ht="15" customHeight="1" x14ac:dyDescent="0.3">
      <c r="A126" s="114">
        <v>115</v>
      </c>
      <c r="B126" s="174" t="s">
        <v>693</v>
      </c>
      <c r="C126" s="140" t="s">
        <v>445</v>
      </c>
      <c r="D126" s="199" t="s">
        <v>288</v>
      </c>
      <c r="E126" s="199" t="s">
        <v>264</v>
      </c>
      <c r="F126" s="199" t="s">
        <v>442</v>
      </c>
      <c r="G126" s="197" t="s">
        <v>145</v>
      </c>
      <c r="H126" s="198" t="s">
        <v>146</v>
      </c>
      <c r="I126" s="199">
        <v>1</v>
      </c>
      <c r="J126" s="198" t="s">
        <v>446</v>
      </c>
      <c r="K126" s="198">
        <v>50</v>
      </c>
      <c r="L126" s="198">
        <v>7.93</v>
      </c>
      <c r="M126" s="198" t="s">
        <v>438</v>
      </c>
      <c r="N126" s="198" t="s">
        <v>218</v>
      </c>
      <c r="O126" s="198" t="s">
        <v>219</v>
      </c>
      <c r="P126" s="198" t="s">
        <v>218</v>
      </c>
      <c r="Q126" s="198" t="s">
        <v>219</v>
      </c>
      <c r="R126" s="198" t="s">
        <v>296</v>
      </c>
      <c r="S126" s="198" t="s">
        <v>219</v>
      </c>
      <c r="T126" s="198" t="s">
        <v>444</v>
      </c>
      <c r="U126" s="212">
        <v>2012.1</v>
      </c>
      <c r="V126" s="212">
        <v>1991.81</v>
      </c>
      <c r="W126" s="199">
        <v>247.82</v>
      </c>
      <c r="X126" s="204" t="s">
        <v>456</v>
      </c>
      <c r="Y126" s="199">
        <v>247.82</v>
      </c>
      <c r="Z126" s="204" t="s">
        <v>456</v>
      </c>
      <c r="AA126" s="199">
        <v>226.9</v>
      </c>
      <c r="AB126" s="204" t="s">
        <v>207</v>
      </c>
      <c r="AC126" s="199">
        <v>207.4</v>
      </c>
      <c r="AD126" s="204" t="s">
        <v>207</v>
      </c>
      <c r="AE126" s="199">
        <v>89.86</v>
      </c>
      <c r="AF126" s="204" t="s">
        <v>207</v>
      </c>
      <c r="AG126" s="199">
        <v>48.04</v>
      </c>
      <c r="AH126" s="204" t="s">
        <v>207</v>
      </c>
      <c r="AI126" s="199">
        <v>42.71</v>
      </c>
      <c r="AJ126" s="204" t="s">
        <v>207</v>
      </c>
      <c r="AK126" s="199">
        <v>42.28</v>
      </c>
      <c r="AL126" s="204" t="s">
        <v>207</v>
      </c>
      <c r="AM126" s="199">
        <v>53.27</v>
      </c>
      <c r="AN126" s="204" t="s">
        <v>207</v>
      </c>
      <c r="AO126" s="199">
        <v>185.81</v>
      </c>
      <c r="AP126" s="204" t="s">
        <v>207</v>
      </c>
      <c r="AQ126" s="199">
        <v>212.89</v>
      </c>
      <c r="AR126" s="204" t="s">
        <v>207</v>
      </c>
      <c r="AS126" s="199">
        <v>269.85000000000002</v>
      </c>
      <c r="AT126" s="204" t="s">
        <v>207</v>
      </c>
      <c r="AU126" s="199">
        <f t="shared" si="8"/>
        <v>1874.6499999999996</v>
      </c>
      <c r="AV126" s="199">
        <v>1.07</v>
      </c>
      <c r="AW126" s="204" t="str">
        <f>M126</f>
        <v>150/70</v>
      </c>
      <c r="AX126" s="199" t="str">
        <f>R126</f>
        <v>зависимая</v>
      </c>
      <c r="AY126" s="204">
        <f>I126</f>
        <v>1</v>
      </c>
      <c r="AZ126" s="199" t="s">
        <v>440</v>
      </c>
    </row>
    <row r="127" spans="1:52" s="208" customFormat="1" ht="15" customHeight="1" x14ac:dyDescent="0.3">
      <c r="A127" s="73">
        <v>116</v>
      </c>
      <c r="B127" s="174" t="s">
        <v>694</v>
      </c>
      <c r="C127" s="140" t="s">
        <v>445</v>
      </c>
      <c r="D127" s="199" t="s">
        <v>288</v>
      </c>
      <c r="E127" s="199" t="s">
        <v>264</v>
      </c>
      <c r="F127" s="199" t="s">
        <v>442</v>
      </c>
      <c r="G127" s="197" t="s">
        <v>145</v>
      </c>
      <c r="H127" s="198" t="s">
        <v>146</v>
      </c>
      <c r="I127" s="199">
        <v>1</v>
      </c>
      <c r="J127" s="198" t="s">
        <v>446</v>
      </c>
      <c r="K127" s="198">
        <v>50</v>
      </c>
      <c r="L127" s="198">
        <v>7.93</v>
      </c>
      <c r="M127" s="198" t="s">
        <v>438</v>
      </c>
      <c r="N127" s="198" t="s">
        <v>218</v>
      </c>
      <c r="O127" s="198" t="s">
        <v>219</v>
      </c>
      <c r="P127" s="198" t="s">
        <v>218</v>
      </c>
      <c r="Q127" s="198" t="s">
        <v>219</v>
      </c>
      <c r="R127" s="198" t="s">
        <v>296</v>
      </c>
      <c r="S127" s="198" t="s">
        <v>219</v>
      </c>
      <c r="T127" s="140" t="s">
        <v>484</v>
      </c>
      <c r="U127" s="199">
        <v>1835.63</v>
      </c>
      <c r="V127" s="199">
        <v>2061.4499999999998</v>
      </c>
      <c r="W127" s="199">
        <v>314.93</v>
      </c>
      <c r="X127" s="204" t="s">
        <v>207</v>
      </c>
      <c r="Y127" s="199">
        <v>219.83</v>
      </c>
      <c r="Z127" s="204" t="s">
        <v>207</v>
      </c>
      <c r="AA127" s="199">
        <v>326.98</v>
      </c>
      <c r="AB127" s="204" t="s">
        <v>207</v>
      </c>
      <c r="AC127" s="199">
        <v>203.08</v>
      </c>
      <c r="AD127" s="204" t="s">
        <v>207</v>
      </c>
      <c r="AE127" s="199">
        <f>39.98+51.93</f>
        <v>91.91</v>
      </c>
      <c r="AF127" s="204" t="s">
        <v>207</v>
      </c>
      <c r="AG127" s="199">
        <f>47.8</f>
        <v>47.8</v>
      </c>
      <c r="AH127" s="204" t="s">
        <v>207</v>
      </c>
      <c r="AI127" s="199">
        <v>41.18</v>
      </c>
      <c r="AJ127" s="204" t="s">
        <v>207</v>
      </c>
      <c r="AK127" s="199">
        <v>45.21</v>
      </c>
      <c r="AL127" s="204" t="s">
        <v>207</v>
      </c>
      <c r="AM127" s="199">
        <v>55.37</v>
      </c>
      <c r="AN127" s="204" t="s">
        <v>207</v>
      </c>
      <c r="AO127" s="199">
        <v>149.34</v>
      </c>
      <c r="AP127" s="204" t="s">
        <v>207</v>
      </c>
      <c r="AQ127" s="199">
        <v>219.12</v>
      </c>
      <c r="AR127" s="204" t="s">
        <v>207</v>
      </c>
      <c r="AS127" s="199">
        <v>259.77</v>
      </c>
      <c r="AT127" s="204" t="s">
        <v>207</v>
      </c>
      <c r="AU127" s="199">
        <f t="shared" si="8"/>
        <v>1974.52</v>
      </c>
      <c r="AV127" s="199">
        <v>1.1599999999999999</v>
      </c>
      <c r="AW127" s="204" t="str">
        <f>M127</f>
        <v>150/70</v>
      </c>
      <c r="AX127" s="199" t="str">
        <f>R127</f>
        <v>зависимая</v>
      </c>
      <c r="AY127" s="199">
        <v>1</v>
      </c>
      <c r="AZ127" s="199" t="s">
        <v>440</v>
      </c>
    </row>
    <row r="128" spans="1:52" s="221" customFormat="1" ht="15" customHeight="1" x14ac:dyDescent="0.3">
      <c r="A128" s="114">
        <v>117</v>
      </c>
      <c r="B128" s="174" t="s">
        <v>695</v>
      </c>
      <c r="C128" s="140" t="s">
        <v>445</v>
      </c>
      <c r="D128" s="199" t="s">
        <v>288</v>
      </c>
      <c r="E128" s="199" t="s">
        <v>264</v>
      </c>
      <c r="F128" s="199" t="s">
        <v>442</v>
      </c>
      <c r="G128" s="197" t="s">
        <v>145</v>
      </c>
      <c r="H128" s="198" t="s">
        <v>146</v>
      </c>
      <c r="I128" s="199">
        <v>1</v>
      </c>
      <c r="J128" s="198" t="s">
        <v>446</v>
      </c>
      <c r="K128" s="198">
        <v>50</v>
      </c>
      <c r="L128" s="198">
        <v>6</v>
      </c>
      <c r="M128" s="198" t="s">
        <v>438</v>
      </c>
      <c r="N128" s="198" t="s">
        <v>218</v>
      </c>
      <c r="O128" s="198" t="s">
        <v>219</v>
      </c>
      <c r="P128" s="198" t="s">
        <v>218</v>
      </c>
      <c r="Q128" s="198" t="s">
        <v>219</v>
      </c>
      <c r="R128" s="198" t="s">
        <v>296</v>
      </c>
      <c r="S128" s="198" t="s">
        <v>219</v>
      </c>
      <c r="T128" s="198" t="s">
        <v>444</v>
      </c>
      <c r="U128" s="212">
        <v>1283.77</v>
      </c>
      <c r="V128" s="212">
        <v>1163.75</v>
      </c>
      <c r="W128" s="199">
        <v>200.05</v>
      </c>
      <c r="X128" s="204" t="s">
        <v>207</v>
      </c>
      <c r="Y128" s="199">
        <v>128.56</v>
      </c>
      <c r="Z128" s="204" t="s">
        <v>207</v>
      </c>
      <c r="AA128" s="199">
        <v>188.99</v>
      </c>
      <c r="AB128" s="204" t="s">
        <v>207</v>
      </c>
      <c r="AC128" s="199">
        <v>113.88</v>
      </c>
      <c r="AD128" s="204" t="s">
        <v>207</v>
      </c>
      <c r="AE128" s="199">
        <v>28.33</v>
      </c>
      <c r="AF128" s="204" t="s">
        <v>207</v>
      </c>
      <c r="AG128" s="228">
        <v>22.3752</v>
      </c>
      <c r="AH128" s="204" t="s">
        <v>456</v>
      </c>
      <c r="AI128" s="199">
        <v>22.3752</v>
      </c>
      <c r="AJ128" s="204" t="s">
        <v>456</v>
      </c>
      <c r="AK128" s="199">
        <v>16.14</v>
      </c>
      <c r="AL128" s="204" t="s">
        <v>456</v>
      </c>
      <c r="AM128" s="199">
        <v>24.75</v>
      </c>
      <c r="AN128" s="204" t="s">
        <v>456</v>
      </c>
      <c r="AO128" s="199">
        <v>116.03</v>
      </c>
      <c r="AP128" s="204" t="s">
        <v>207</v>
      </c>
      <c r="AQ128" s="199">
        <v>127.03</v>
      </c>
      <c r="AR128" s="204" t="s">
        <v>207</v>
      </c>
      <c r="AS128" s="199">
        <v>153.1</v>
      </c>
      <c r="AT128" s="204" t="s">
        <v>207</v>
      </c>
      <c r="AU128" s="199">
        <f t="shared" si="8"/>
        <v>1141.6103999999998</v>
      </c>
      <c r="AV128" s="199">
        <v>0.56000000000000005</v>
      </c>
      <c r="AW128" s="204" t="str">
        <f>M128</f>
        <v>150/70</v>
      </c>
      <c r="AX128" s="199" t="str">
        <f>R128</f>
        <v>зависимая</v>
      </c>
      <c r="AY128" s="199">
        <v>1</v>
      </c>
      <c r="AZ128" s="199" t="s">
        <v>440</v>
      </c>
    </row>
    <row r="129" spans="1:52" s="221" customFormat="1" ht="15" customHeight="1" x14ac:dyDescent="0.3">
      <c r="A129" s="114">
        <v>118</v>
      </c>
      <c r="B129" s="174" t="s">
        <v>696</v>
      </c>
      <c r="C129" s="186" t="s">
        <v>445</v>
      </c>
      <c r="D129" s="213" t="s">
        <v>288</v>
      </c>
      <c r="E129" s="213" t="s">
        <v>264</v>
      </c>
      <c r="F129" s="186" t="s">
        <v>442</v>
      </c>
      <c r="G129" s="197" t="s">
        <v>145</v>
      </c>
      <c r="H129" s="210" t="s">
        <v>146</v>
      </c>
      <c r="I129" s="214">
        <v>1</v>
      </c>
      <c r="J129" s="215" t="s">
        <v>446</v>
      </c>
      <c r="K129" s="215">
        <v>80</v>
      </c>
      <c r="L129" s="215">
        <v>7.93</v>
      </c>
      <c r="M129" s="215" t="s">
        <v>438</v>
      </c>
      <c r="N129" s="215" t="s">
        <v>218</v>
      </c>
      <c r="O129" s="215" t="s">
        <v>219</v>
      </c>
      <c r="P129" s="215" t="s">
        <v>218</v>
      </c>
      <c r="Q129" s="215" t="s">
        <v>219</v>
      </c>
      <c r="R129" s="215" t="s">
        <v>296</v>
      </c>
      <c r="S129" s="215" t="s">
        <v>219</v>
      </c>
      <c r="T129" s="215" t="s">
        <v>444</v>
      </c>
      <c r="U129" s="214">
        <v>3186.52</v>
      </c>
      <c r="V129" s="214">
        <v>3111.05</v>
      </c>
      <c r="W129" s="213">
        <v>534.32000000000005</v>
      </c>
      <c r="X129" s="217" t="s">
        <v>207</v>
      </c>
      <c r="Y129" s="213">
        <v>363.66</v>
      </c>
      <c r="Z129" s="217" t="s">
        <v>207</v>
      </c>
      <c r="AA129" s="213">
        <v>520.15</v>
      </c>
      <c r="AB129" s="217" t="s">
        <v>207</v>
      </c>
      <c r="AC129" s="213">
        <v>301.45999999999998</v>
      </c>
      <c r="AD129" s="217" t="s">
        <v>207</v>
      </c>
      <c r="AE129" s="213">
        <v>142</v>
      </c>
      <c r="AF129" s="217" t="s">
        <v>207</v>
      </c>
      <c r="AG129" s="213">
        <v>80.84</v>
      </c>
      <c r="AH129" s="217" t="s">
        <v>207</v>
      </c>
      <c r="AI129" s="213">
        <v>74.03</v>
      </c>
      <c r="AJ129" s="217" t="s">
        <v>207</v>
      </c>
      <c r="AK129" s="213">
        <v>76.13</v>
      </c>
      <c r="AL129" s="217" t="s">
        <v>207</v>
      </c>
      <c r="AM129" s="213">
        <v>90.83</v>
      </c>
      <c r="AN129" s="217" t="s">
        <v>207</v>
      </c>
      <c r="AO129" s="213">
        <v>250.3</v>
      </c>
      <c r="AP129" s="217" t="s">
        <v>207</v>
      </c>
      <c r="AQ129" s="213">
        <v>328.07</v>
      </c>
      <c r="AR129" s="217" t="s">
        <v>207</v>
      </c>
      <c r="AS129" s="213">
        <v>402.7</v>
      </c>
      <c r="AT129" s="217" t="s">
        <v>207</v>
      </c>
      <c r="AU129" s="196">
        <f t="shared" si="8"/>
        <v>3164.4900000000002</v>
      </c>
      <c r="AV129" s="214">
        <f>1.17+0.7</f>
        <v>1.8699999999999999</v>
      </c>
      <c r="AW129" s="186" t="str">
        <f>M129</f>
        <v>150/70</v>
      </c>
      <c r="AX129" s="186" t="str">
        <f>R129</f>
        <v>зависимая</v>
      </c>
      <c r="AY129" s="186">
        <f>I129</f>
        <v>1</v>
      </c>
      <c r="AZ129" s="186" t="s">
        <v>440</v>
      </c>
    </row>
    <row r="130" spans="1:52" s="221" customFormat="1" ht="15" customHeight="1" x14ac:dyDescent="0.3">
      <c r="A130" s="114">
        <v>119</v>
      </c>
      <c r="B130" s="174" t="s">
        <v>697</v>
      </c>
      <c r="C130" s="199" t="s">
        <v>441</v>
      </c>
      <c r="D130" s="199" t="s">
        <v>204</v>
      </c>
      <c r="E130" s="199" t="s">
        <v>289</v>
      </c>
      <c r="F130" s="199" t="s">
        <v>447</v>
      </c>
      <c r="G130" s="197" t="s">
        <v>145</v>
      </c>
      <c r="H130" s="198" t="s">
        <v>146</v>
      </c>
      <c r="I130" s="199">
        <v>1</v>
      </c>
      <c r="J130" s="198" t="s">
        <v>451</v>
      </c>
      <c r="K130" s="198">
        <v>65</v>
      </c>
      <c r="L130" s="229"/>
      <c r="M130" s="198" t="s">
        <v>438</v>
      </c>
      <c r="N130" s="198" t="s">
        <v>218</v>
      </c>
      <c r="O130" s="198" t="s">
        <v>219</v>
      </c>
      <c r="P130" s="198" t="s">
        <v>218</v>
      </c>
      <c r="Q130" s="198" t="s">
        <v>219</v>
      </c>
      <c r="R130" s="198" t="s">
        <v>296</v>
      </c>
      <c r="S130" s="198" t="s">
        <v>219</v>
      </c>
      <c r="T130" s="204" t="s">
        <v>485</v>
      </c>
      <c r="U130" s="199" t="s">
        <v>444</v>
      </c>
      <c r="V130" s="199">
        <v>2242.89</v>
      </c>
      <c r="W130" s="199">
        <v>317.08999999999997</v>
      </c>
      <c r="X130" s="199" t="s">
        <v>207</v>
      </c>
      <c r="Y130" s="199">
        <v>277.5</v>
      </c>
      <c r="Z130" s="199" t="s">
        <v>207</v>
      </c>
      <c r="AA130" s="199">
        <v>264.41000000000003</v>
      </c>
      <c r="AB130" s="199" t="s">
        <v>207</v>
      </c>
      <c r="AC130" s="199">
        <v>208.85</v>
      </c>
      <c r="AD130" s="199" t="s">
        <v>207</v>
      </c>
      <c r="AE130" s="199">
        <v>81.34</v>
      </c>
      <c r="AF130" s="199" t="s">
        <v>207</v>
      </c>
      <c r="AG130" s="199">
        <v>32.950000000000003</v>
      </c>
      <c r="AH130" s="199" t="s">
        <v>207</v>
      </c>
      <c r="AI130" s="199">
        <v>8.43</v>
      </c>
      <c r="AJ130" s="199" t="s">
        <v>207</v>
      </c>
      <c r="AK130" s="199">
        <v>22.19</v>
      </c>
      <c r="AL130" s="199" t="s">
        <v>207</v>
      </c>
      <c r="AM130" s="199">
        <v>30.2</v>
      </c>
      <c r="AN130" s="199" t="s">
        <v>207</v>
      </c>
      <c r="AO130" s="199">
        <v>137.29</v>
      </c>
      <c r="AP130" s="199" t="s">
        <v>207</v>
      </c>
      <c r="AQ130" s="199">
        <v>171.95</v>
      </c>
      <c r="AR130" s="199" t="s">
        <v>207</v>
      </c>
      <c r="AS130" s="199">
        <v>238</v>
      </c>
      <c r="AT130" s="199" t="s">
        <v>207</v>
      </c>
      <c r="AU130" s="196">
        <f t="shared" si="8"/>
        <v>1790.2</v>
      </c>
      <c r="AV130" s="199">
        <v>0.628</v>
      </c>
      <c r="AW130" s="199" t="s">
        <v>438</v>
      </c>
      <c r="AX130" s="199" t="s">
        <v>296</v>
      </c>
      <c r="AY130" s="199">
        <v>1</v>
      </c>
      <c r="AZ130" s="199" t="s">
        <v>440</v>
      </c>
    </row>
    <row r="131" spans="1:52" s="221" customFormat="1" ht="15" customHeight="1" x14ac:dyDescent="0.3">
      <c r="A131" s="73">
        <v>120</v>
      </c>
      <c r="B131" s="174" t="s">
        <v>698</v>
      </c>
      <c r="C131" s="186" t="s">
        <v>445</v>
      </c>
      <c r="D131" s="213" t="s">
        <v>288</v>
      </c>
      <c r="E131" s="213" t="s">
        <v>264</v>
      </c>
      <c r="F131" s="186" t="s">
        <v>442</v>
      </c>
      <c r="G131" s="197" t="s">
        <v>145</v>
      </c>
      <c r="H131" s="210" t="s">
        <v>146</v>
      </c>
      <c r="I131" s="214">
        <v>1</v>
      </c>
      <c r="J131" s="215" t="s">
        <v>446</v>
      </c>
      <c r="K131" s="215">
        <v>80</v>
      </c>
      <c r="L131" s="215">
        <v>7.8</v>
      </c>
      <c r="M131" s="215" t="s">
        <v>438</v>
      </c>
      <c r="N131" s="215" t="s">
        <v>218</v>
      </c>
      <c r="O131" s="215" t="s">
        <v>219</v>
      </c>
      <c r="P131" s="215" t="s">
        <v>218</v>
      </c>
      <c r="Q131" s="216" t="s">
        <v>219</v>
      </c>
      <c r="R131" s="215" t="s">
        <v>296</v>
      </c>
      <c r="S131" s="215" t="s">
        <v>219</v>
      </c>
      <c r="T131" s="215" t="s">
        <v>444</v>
      </c>
      <c r="U131" s="214">
        <v>3372.76</v>
      </c>
      <c r="V131" s="225">
        <v>2938.96</v>
      </c>
      <c r="W131" s="213">
        <v>503.52</v>
      </c>
      <c r="X131" s="217" t="s">
        <v>207</v>
      </c>
      <c r="Y131" s="213">
        <v>410.61</v>
      </c>
      <c r="Z131" s="217" t="s">
        <v>207</v>
      </c>
      <c r="AA131" s="213">
        <v>461.65</v>
      </c>
      <c r="AB131" s="217" t="s">
        <v>207</v>
      </c>
      <c r="AC131" s="213">
        <v>329.3</v>
      </c>
      <c r="AD131" s="217" t="s">
        <v>207</v>
      </c>
      <c r="AE131" s="213">
        <v>113.57</v>
      </c>
      <c r="AF131" s="217" t="s">
        <v>207</v>
      </c>
      <c r="AG131" s="213">
        <v>79.27</v>
      </c>
      <c r="AH131" s="217" t="s">
        <v>207</v>
      </c>
      <c r="AI131" s="213">
        <v>76.52</v>
      </c>
      <c r="AJ131" s="217" t="s">
        <v>207</v>
      </c>
      <c r="AK131" s="213">
        <v>79.19</v>
      </c>
      <c r="AL131" s="217" t="s">
        <v>207</v>
      </c>
      <c r="AM131" s="213">
        <v>91.23</v>
      </c>
      <c r="AN131" s="217" t="s">
        <v>207</v>
      </c>
      <c r="AO131" s="213">
        <v>313.64999999999998</v>
      </c>
      <c r="AP131" s="217" t="s">
        <v>207</v>
      </c>
      <c r="AQ131" s="213">
        <v>318.43</v>
      </c>
      <c r="AR131" s="217" t="s">
        <v>207</v>
      </c>
      <c r="AS131" s="213">
        <v>405.08</v>
      </c>
      <c r="AT131" s="217" t="s">
        <v>207</v>
      </c>
      <c r="AU131" s="196">
        <f t="shared" si="8"/>
        <v>3182.0199999999995</v>
      </c>
      <c r="AV131" s="214">
        <f>1.18+0.63</f>
        <v>1.81</v>
      </c>
      <c r="AW131" s="186" t="str">
        <f>M131</f>
        <v>150/70</v>
      </c>
      <c r="AX131" s="186" t="str">
        <f>R131</f>
        <v>зависимая</v>
      </c>
      <c r="AY131" s="186">
        <f>I131</f>
        <v>1</v>
      </c>
      <c r="AZ131" s="186" t="s">
        <v>440</v>
      </c>
    </row>
    <row r="132" spans="1:52" s="208" customFormat="1" ht="15" customHeight="1" x14ac:dyDescent="0.3">
      <c r="A132" s="114">
        <v>121</v>
      </c>
      <c r="B132" s="174" t="s">
        <v>699</v>
      </c>
      <c r="C132" s="186" t="s">
        <v>445</v>
      </c>
      <c r="D132" s="213" t="s">
        <v>288</v>
      </c>
      <c r="E132" s="213" t="s">
        <v>264</v>
      </c>
      <c r="F132" s="186" t="s">
        <v>442</v>
      </c>
      <c r="G132" s="197" t="s">
        <v>145</v>
      </c>
      <c r="H132" s="210" t="s">
        <v>146</v>
      </c>
      <c r="I132" s="214">
        <v>1</v>
      </c>
      <c r="J132" s="215" t="s">
        <v>446</v>
      </c>
      <c r="K132" s="215">
        <v>65</v>
      </c>
      <c r="L132" s="215">
        <v>7.93</v>
      </c>
      <c r="M132" s="215" t="s">
        <v>438</v>
      </c>
      <c r="N132" s="215" t="s">
        <v>218</v>
      </c>
      <c r="O132" s="215" t="s">
        <v>219</v>
      </c>
      <c r="P132" s="215" t="s">
        <v>218</v>
      </c>
      <c r="Q132" s="216" t="s">
        <v>219</v>
      </c>
      <c r="R132" s="215" t="s">
        <v>296</v>
      </c>
      <c r="S132" s="215" t="s">
        <v>219</v>
      </c>
      <c r="T132" s="215" t="s">
        <v>444</v>
      </c>
      <c r="U132" s="214">
        <v>2859.32</v>
      </c>
      <c r="V132" s="225">
        <v>2866.66</v>
      </c>
      <c r="W132" s="213">
        <v>364.77</v>
      </c>
      <c r="X132" s="217" t="s">
        <v>456</v>
      </c>
      <c r="Y132" s="213">
        <v>364.77</v>
      </c>
      <c r="Z132" s="217" t="s">
        <v>456</v>
      </c>
      <c r="AA132" s="213">
        <v>370.65</v>
      </c>
      <c r="AB132" s="217" t="s">
        <v>207</v>
      </c>
      <c r="AC132" s="213">
        <v>239.86</v>
      </c>
      <c r="AD132" s="217" t="s">
        <v>207</v>
      </c>
      <c r="AE132" s="213">
        <v>129.41999999999999</v>
      </c>
      <c r="AF132" s="217" t="s">
        <v>207</v>
      </c>
      <c r="AG132" s="213">
        <v>74.33</v>
      </c>
      <c r="AH132" s="217" t="s">
        <v>207</v>
      </c>
      <c r="AI132" s="213">
        <v>69.67</v>
      </c>
      <c r="AJ132" s="217" t="s">
        <v>207</v>
      </c>
      <c r="AK132" s="213">
        <v>67.38</v>
      </c>
      <c r="AL132" s="217" t="s">
        <v>207</v>
      </c>
      <c r="AM132" s="213">
        <v>87.08</v>
      </c>
      <c r="AN132" s="217" t="s">
        <v>207</v>
      </c>
      <c r="AO132" s="213">
        <v>277.89999999999998</v>
      </c>
      <c r="AP132" s="217" t="s">
        <v>207</v>
      </c>
      <c r="AQ132" s="213">
        <v>273.76</v>
      </c>
      <c r="AR132" s="217" t="s">
        <v>207</v>
      </c>
      <c r="AS132" s="213">
        <v>329.9</v>
      </c>
      <c r="AT132" s="217" t="s">
        <v>207</v>
      </c>
      <c r="AU132" s="196">
        <f t="shared" si="8"/>
        <v>2649.4900000000002</v>
      </c>
      <c r="AV132" s="214">
        <v>1.79</v>
      </c>
      <c r="AW132" s="186" t="str">
        <f>M132</f>
        <v>150/70</v>
      </c>
      <c r="AX132" s="186" t="str">
        <f>R132</f>
        <v>зависимая</v>
      </c>
      <c r="AY132" s="186">
        <f>I132</f>
        <v>1</v>
      </c>
      <c r="AZ132" s="186" t="s">
        <v>440</v>
      </c>
    </row>
    <row r="133" spans="1:52" s="208" customFormat="1" ht="15" customHeight="1" x14ac:dyDescent="0.3">
      <c r="A133" s="114">
        <v>122</v>
      </c>
      <c r="B133" s="174" t="s">
        <v>700</v>
      </c>
      <c r="C133" s="186" t="s">
        <v>445</v>
      </c>
      <c r="D133" s="213" t="s">
        <v>288</v>
      </c>
      <c r="E133" s="213" t="s">
        <v>264</v>
      </c>
      <c r="F133" s="186" t="s">
        <v>442</v>
      </c>
      <c r="G133" s="197" t="s">
        <v>145</v>
      </c>
      <c r="H133" s="210" t="s">
        <v>146</v>
      </c>
      <c r="I133" s="214">
        <v>1</v>
      </c>
      <c r="J133" s="215" t="s">
        <v>446</v>
      </c>
      <c r="K133" s="215">
        <v>80</v>
      </c>
      <c r="L133" s="215">
        <v>7.93</v>
      </c>
      <c r="M133" s="215" t="s">
        <v>438</v>
      </c>
      <c r="N133" s="215" t="s">
        <v>218</v>
      </c>
      <c r="O133" s="215" t="s">
        <v>219</v>
      </c>
      <c r="P133" s="215" t="s">
        <v>218</v>
      </c>
      <c r="Q133" s="216" t="s">
        <v>219</v>
      </c>
      <c r="R133" s="215" t="s">
        <v>296</v>
      </c>
      <c r="S133" s="215" t="s">
        <v>219</v>
      </c>
      <c r="T133" s="215" t="s">
        <v>444</v>
      </c>
      <c r="U133" s="214">
        <v>3217.7</v>
      </c>
      <c r="V133" s="225">
        <v>3159.84</v>
      </c>
      <c r="W133" s="213">
        <v>503.12</v>
      </c>
      <c r="X133" s="217" t="s">
        <v>207</v>
      </c>
      <c r="Y133" s="213">
        <v>351.68</v>
      </c>
      <c r="Z133" s="217" t="s">
        <v>207</v>
      </c>
      <c r="AA133" s="213">
        <v>470.48</v>
      </c>
      <c r="AB133" s="217" t="s">
        <v>207</v>
      </c>
      <c r="AC133" s="213">
        <v>287.58999999999997</v>
      </c>
      <c r="AD133" s="217" t="s">
        <v>207</v>
      </c>
      <c r="AE133" s="213">
        <v>133.63</v>
      </c>
      <c r="AF133" s="217" t="s">
        <v>207</v>
      </c>
      <c r="AG133" s="213">
        <v>67.73</v>
      </c>
      <c r="AH133" s="217" t="s">
        <v>207</v>
      </c>
      <c r="AI133" s="213">
        <v>65.599999999999994</v>
      </c>
      <c r="AJ133" s="217" t="s">
        <v>207</v>
      </c>
      <c r="AK133" s="213">
        <v>65.16</v>
      </c>
      <c r="AL133" s="217" t="s">
        <v>207</v>
      </c>
      <c r="AM133" s="213">
        <v>81.81</v>
      </c>
      <c r="AN133" s="217" t="s">
        <v>207</v>
      </c>
      <c r="AO133" s="213">
        <v>320.91000000000003</v>
      </c>
      <c r="AP133" s="217" t="s">
        <v>207</v>
      </c>
      <c r="AQ133" s="213">
        <v>327.43</v>
      </c>
      <c r="AR133" s="217" t="s">
        <v>207</v>
      </c>
      <c r="AS133" s="213">
        <v>407.75</v>
      </c>
      <c r="AT133" s="217" t="s">
        <v>207</v>
      </c>
      <c r="AU133" s="196">
        <f t="shared" si="8"/>
        <v>3082.89</v>
      </c>
      <c r="AV133" s="214">
        <v>1.88</v>
      </c>
      <c r="AW133" s="186" t="str">
        <f>M133</f>
        <v>150/70</v>
      </c>
      <c r="AX133" s="186" t="str">
        <f>R133</f>
        <v>зависимая</v>
      </c>
      <c r="AY133" s="186">
        <f>I133</f>
        <v>1</v>
      </c>
      <c r="AZ133" s="186" t="s">
        <v>440</v>
      </c>
    </row>
    <row r="134" spans="1:52" s="208" customFormat="1" ht="15" customHeight="1" x14ac:dyDescent="0.3">
      <c r="A134" s="114">
        <v>123</v>
      </c>
      <c r="B134" s="174" t="s">
        <v>701</v>
      </c>
      <c r="C134" s="186" t="s">
        <v>445</v>
      </c>
      <c r="D134" s="213" t="s">
        <v>288</v>
      </c>
      <c r="E134" s="213" t="s">
        <v>264</v>
      </c>
      <c r="F134" s="186" t="s">
        <v>486</v>
      </c>
      <c r="G134" s="197" t="s">
        <v>145</v>
      </c>
      <c r="H134" s="210" t="s">
        <v>146</v>
      </c>
      <c r="I134" s="214">
        <v>1</v>
      </c>
      <c r="J134" s="215" t="s">
        <v>446</v>
      </c>
      <c r="K134" s="215">
        <v>80</v>
      </c>
      <c r="L134" s="215">
        <v>7.93</v>
      </c>
      <c r="M134" s="215" t="s">
        <v>438</v>
      </c>
      <c r="N134" s="215" t="s">
        <v>218</v>
      </c>
      <c r="O134" s="215" t="s">
        <v>219</v>
      </c>
      <c r="P134" s="215" t="s">
        <v>218</v>
      </c>
      <c r="Q134" s="216" t="s">
        <v>219</v>
      </c>
      <c r="R134" s="215" t="s">
        <v>296</v>
      </c>
      <c r="S134" s="215" t="s">
        <v>219</v>
      </c>
      <c r="T134" s="215" t="s">
        <v>444</v>
      </c>
      <c r="U134" s="214">
        <v>2956.4</v>
      </c>
      <c r="V134" s="214">
        <v>2979.21</v>
      </c>
      <c r="W134" s="213">
        <v>464.62</v>
      </c>
      <c r="X134" s="217" t="s">
        <v>207</v>
      </c>
      <c r="Y134" s="213">
        <v>278.12</v>
      </c>
      <c r="Z134" s="217" t="s">
        <v>207</v>
      </c>
      <c r="AA134" s="213">
        <v>420.19</v>
      </c>
      <c r="AB134" s="217" t="s">
        <v>207</v>
      </c>
      <c r="AC134" s="213">
        <v>270.49</v>
      </c>
      <c r="AD134" s="217" t="s">
        <v>207</v>
      </c>
      <c r="AE134" s="213">
        <f>48.95+78.12</f>
        <v>127.07000000000001</v>
      </c>
      <c r="AF134" s="217" t="s">
        <v>207</v>
      </c>
      <c r="AG134" s="213">
        <v>74.5</v>
      </c>
      <c r="AH134" s="217" t="s">
        <v>207</v>
      </c>
      <c r="AI134" s="213">
        <v>70.86</v>
      </c>
      <c r="AJ134" s="217" t="s">
        <v>207</v>
      </c>
      <c r="AK134" s="213">
        <v>69.39</v>
      </c>
      <c r="AL134" s="217" t="s">
        <v>207</v>
      </c>
      <c r="AM134" s="213">
        <v>86.41</v>
      </c>
      <c r="AN134" s="217" t="s">
        <v>207</v>
      </c>
      <c r="AO134" s="213">
        <v>284.73</v>
      </c>
      <c r="AP134" s="217" t="s">
        <v>207</v>
      </c>
      <c r="AQ134" s="213">
        <v>272.36</v>
      </c>
      <c r="AR134" s="217" t="s">
        <v>207</v>
      </c>
      <c r="AS134" s="213">
        <v>355.24</v>
      </c>
      <c r="AT134" s="217" t="s">
        <v>207</v>
      </c>
      <c r="AU134" s="196">
        <f t="shared" si="8"/>
        <v>2773.9800000000005</v>
      </c>
      <c r="AV134" s="214">
        <v>1.77</v>
      </c>
      <c r="AW134" s="186" t="str">
        <f>M134</f>
        <v>150/70</v>
      </c>
      <c r="AX134" s="186" t="str">
        <f>R134</f>
        <v>зависимая</v>
      </c>
      <c r="AY134" s="186">
        <f>I134</f>
        <v>1</v>
      </c>
      <c r="AZ134" s="186" t="s">
        <v>440</v>
      </c>
    </row>
    <row r="135" spans="1:52" s="208" customFormat="1" ht="15" customHeight="1" x14ac:dyDescent="0.3">
      <c r="A135" s="73">
        <v>124</v>
      </c>
      <c r="B135" s="174" t="s">
        <v>702</v>
      </c>
      <c r="C135" s="186" t="s">
        <v>445</v>
      </c>
      <c r="D135" s="213" t="s">
        <v>288</v>
      </c>
      <c r="E135" s="213" t="s">
        <v>264</v>
      </c>
      <c r="F135" s="186" t="s">
        <v>442</v>
      </c>
      <c r="G135" s="197" t="s">
        <v>145</v>
      </c>
      <c r="H135" s="210" t="s">
        <v>146</v>
      </c>
      <c r="I135" s="214">
        <v>1</v>
      </c>
      <c r="J135" s="215" t="s">
        <v>446</v>
      </c>
      <c r="K135" s="215">
        <v>32</v>
      </c>
      <c r="L135" s="215">
        <v>7.93</v>
      </c>
      <c r="M135" s="215" t="s">
        <v>438</v>
      </c>
      <c r="N135" s="215" t="s">
        <v>218</v>
      </c>
      <c r="O135" s="215" t="s">
        <v>219</v>
      </c>
      <c r="P135" s="215" t="s">
        <v>218</v>
      </c>
      <c r="Q135" s="216" t="s">
        <v>219</v>
      </c>
      <c r="R135" s="215" t="s">
        <v>296</v>
      </c>
      <c r="S135" s="215" t="s">
        <v>219</v>
      </c>
      <c r="T135" s="186" t="s">
        <v>487</v>
      </c>
      <c r="U135" s="214">
        <v>868.84</v>
      </c>
      <c r="V135" s="214">
        <v>728.67</v>
      </c>
      <c r="W135" s="213">
        <v>134.91</v>
      </c>
      <c r="X135" s="217" t="s">
        <v>207</v>
      </c>
      <c r="Y135" s="213">
        <v>81.790000000000006</v>
      </c>
      <c r="Z135" s="217" t="s">
        <v>207</v>
      </c>
      <c r="AA135" s="213">
        <v>113.38</v>
      </c>
      <c r="AB135" s="217" t="s">
        <v>207</v>
      </c>
      <c r="AC135" s="213">
        <v>75.36</v>
      </c>
      <c r="AD135" s="217" t="s">
        <v>207</v>
      </c>
      <c r="AE135" s="213">
        <v>31.61</v>
      </c>
      <c r="AF135" s="217" t="s">
        <v>207</v>
      </c>
      <c r="AG135" s="213">
        <v>16.329999999999998</v>
      </c>
      <c r="AH135" s="217" t="s">
        <v>207</v>
      </c>
      <c r="AI135" s="213">
        <v>16.29</v>
      </c>
      <c r="AJ135" s="217" t="s">
        <v>207</v>
      </c>
      <c r="AK135" s="213">
        <v>15.14</v>
      </c>
      <c r="AL135" s="217" t="s">
        <v>207</v>
      </c>
      <c r="AM135" s="213">
        <v>18.93</v>
      </c>
      <c r="AN135" s="217" t="s">
        <v>207</v>
      </c>
      <c r="AO135" s="213">
        <v>90.96</v>
      </c>
      <c r="AP135" s="217" t="s">
        <v>207</v>
      </c>
      <c r="AQ135" s="213">
        <v>70.739999999999995</v>
      </c>
      <c r="AR135" s="217" t="s">
        <v>207</v>
      </c>
      <c r="AS135" s="213">
        <v>102.7</v>
      </c>
      <c r="AT135" s="217" t="s">
        <v>207</v>
      </c>
      <c r="AU135" s="196">
        <f t="shared" si="8"/>
        <v>768.1400000000001</v>
      </c>
      <c r="AV135" s="214">
        <v>0.37</v>
      </c>
      <c r="AW135" s="186" t="str">
        <f>M135</f>
        <v>150/70</v>
      </c>
      <c r="AX135" s="186" t="str">
        <f>R135</f>
        <v>зависимая</v>
      </c>
      <c r="AY135" s="186">
        <f>I135</f>
        <v>1</v>
      </c>
      <c r="AZ135" s="186" t="s">
        <v>440</v>
      </c>
    </row>
    <row r="136" spans="1:52" s="208" customFormat="1" ht="15" customHeight="1" x14ac:dyDescent="0.3">
      <c r="A136" s="114">
        <v>125</v>
      </c>
      <c r="B136" s="174" t="s">
        <v>703</v>
      </c>
      <c r="C136" s="173" t="s">
        <v>435</v>
      </c>
      <c r="D136" s="196" t="s">
        <v>288</v>
      </c>
      <c r="E136" s="196" t="s">
        <v>205</v>
      </c>
      <c r="F136" s="173" t="s">
        <v>447</v>
      </c>
      <c r="G136" s="197" t="s">
        <v>145</v>
      </c>
      <c r="H136" s="198" t="s">
        <v>146</v>
      </c>
      <c r="I136" s="199">
        <v>1</v>
      </c>
      <c r="J136" s="200" t="s">
        <v>437</v>
      </c>
      <c r="K136" s="201">
        <v>80</v>
      </c>
      <c r="L136" s="202"/>
      <c r="M136" s="200" t="s">
        <v>452</v>
      </c>
      <c r="N136" s="200" t="s">
        <v>218</v>
      </c>
      <c r="O136" s="200" t="s">
        <v>219</v>
      </c>
      <c r="P136" s="200" t="s">
        <v>218</v>
      </c>
      <c r="Q136" s="200" t="s">
        <v>219</v>
      </c>
      <c r="R136" s="200" t="s">
        <v>488</v>
      </c>
      <c r="S136" s="200" t="s">
        <v>219</v>
      </c>
      <c r="T136" s="200"/>
      <c r="U136" s="199">
        <v>2642.23</v>
      </c>
      <c r="V136" s="199">
        <v>4688.7299999999996</v>
      </c>
      <c r="W136" s="199">
        <v>620.49</v>
      </c>
      <c r="X136" s="199" t="s">
        <v>449</v>
      </c>
      <c r="Y136" s="199">
        <v>620.49</v>
      </c>
      <c r="Z136" s="199" t="s">
        <v>449</v>
      </c>
      <c r="AA136" s="199">
        <v>538.23</v>
      </c>
      <c r="AB136" s="199" t="s">
        <v>449</v>
      </c>
      <c r="AC136" s="199">
        <v>538.24</v>
      </c>
      <c r="AD136" s="199" t="s">
        <v>449</v>
      </c>
      <c r="AE136" s="199">
        <v>538.24</v>
      </c>
      <c r="AF136" s="199" t="s">
        <v>449</v>
      </c>
      <c r="AG136" s="199">
        <v>114.99</v>
      </c>
      <c r="AH136" s="199" t="s">
        <v>207</v>
      </c>
      <c r="AI136" s="196">
        <v>120.26</v>
      </c>
      <c r="AJ136" s="196" t="s">
        <v>207</v>
      </c>
      <c r="AK136" s="196">
        <v>93.77</v>
      </c>
      <c r="AL136" s="196" t="s">
        <v>207</v>
      </c>
      <c r="AM136" s="196">
        <v>155.6</v>
      </c>
      <c r="AN136" s="196" t="s">
        <v>207</v>
      </c>
      <c r="AO136" s="196">
        <v>363.43</v>
      </c>
      <c r="AP136" s="196" t="s">
        <v>207</v>
      </c>
      <c r="AQ136" s="196">
        <v>398.99</v>
      </c>
      <c r="AR136" s="196" t="s">
        <v>207</v>
      </c>
      <c r="AS136" s="196">
        <v>480.06</v>
      </c>
      <c r="AT136" s="196" t="s">
        <v>207</v>
      </c>
      <c r="AU136" s="196">
        <f t="shared" si="8"/>
        <v>4582.79</v>
      </c>
      <c r="AV136" s="199">
        <v>1.952</v>
      </c>
      <c r="AW136" s="196" t="s">
        <v>452</v>
      </c>
      <c r="AX136" s="173" t="s">
        <v>256</v>
      </c>
      <c r="AY136" s="196">
        <v>1</v>
      </c>
      <c r="AZ136" s="196" t="s">
        <v>440</v>
      </c>
    </row>
    <row r="137" spans="1:52" s="208" customFormat="1" ht="15" customHeight="1" x14ac:dyDescent="0.3">
      <c r="A137" s="114">
        <v>126</v>
      </c>
      <c r="B137" s="174" t="s">
        <v>704</v>
      </c>
      <c r="C137" s="186" t="s">
        <v>445</v>
      </c>
      <c r="D137" s="213" t="s">
        <v>288</v>
      </c>
      <c r="E137" s="213" t="s">
        <v>264</v>
      </c>
      <c r="F137" s="186" t="s">
        <v>442</v>
      </c>
      <c r="G137" s="197" t="s">
        <v>145</v>
      </c>
      <c r="H137" s="210" t="s">
        <v>146</v>
      </c>
      <c r="I137" s="214">
        <v>1</v>
      </c>
      <c r="J137" s="215" t="s">
        <v>446</v>
      </c>
      <c r="K137" s="215">
        <v>50</v>
      </c>
      <c r="L137" s="215">
        <v>7.93</v>
      </c>
      <c r="M137" s="215" t="s">
        <v>438</v>
      </c>
      <c r="N137" s="215" t="s">
        <v>218</v>
      </c>
      <c r="O137" s="215" t="s">
        <v>219</v>
      </c>
      <c r="P137" s="215" t="s">
        <v>218</v>
      </c>
      <c r="Q137" s="216" t="s">
        <v>219</v>
      </c>
      <c r="R137" s="215" t="s">
        <v>296</v>
      </c>
      <c r="S137" s="215" t="s">
        <v>219</v>
      </c>
      <c r="T137" s="215" t="s">
        <v>444</v>
      </c>
      <c r="U137" s="214">
        <v>1792.58</v>
      </c>
      <c r="V137" s="214">
        <v>1859.99</v>
      </c>
      <c r="W137" s="213">
        <v>224.29</v>
      </c>
      <c r="X137" s="217" t="s">
        <v>456</v>
      </c>
      <c r="Y137" s="213">
        <v>224.29</v>
      </c>
      <c r="Z137" s="217" t="s">
        <v>456</v>
      </c>
      <c r="AA137" s="213">
        <v>223.36</v>
      </c>
      <c r="AB137" s="217" t="s">
        <v>456</v>
      </c>
      <c r="AC137" s="213">
        <v>179.3</v>
      </c>
      <c r="AD137" s="217" t="s">
        <v>207</v>
      </c>
      <c r="AE137" s="213">
        <v>87.5</v>
      </c>
      <c r="AF137" s="217" t="s">
        <v>207</v>
      </c>
      <c r="AG137" s="213">
        <v>48.85</v>
      </c>
      <c r="AH137" s="217" t="s">
        <v>207</v>
      </c>
      <c r="AI137" s="213">
        <v>45.49</v>
      </c>
      <c r="AJ137" s="217" t="s">
        <v>207</v>
      </c>
      <c r="AK137" s="213">
        <v>49.76</v>
      </c>
      <c r="AL137" s="217" t="s">
        <v>207</v>
      </c>
      <c r="AM137" s="213">
        <v>57.42</v>
      </c>
      <c r="AN137" s="217" t="s">
        <v>207</v>
      </c>
      <c r="AO137" s="213">
        <v>184.98</v>
      </c>
      <c r="AP137" s="217" t="s">
        <v>207</v>
      </c>
      <c r="AQ137" s="213">
        <v>179.04</v>
      </c>
      <c r="AR137" s="217" t="s">
        <v>207</v>
      </c>
      <c r="AS137" s="213">
        <v>247.67</v>
      </c>
      <c r="AT137" s="217" t="s">
        <v>207</v>
      </c>
      <c r="AU137" s="196">
        <f t="shared" si="8"/>
        <v>1751.95</v>
      </c>
      <c r="AV137" s="214">
        <v>0.89</v>
      </c>
      <c r="AW137" s="186" t="str">
        <f>M137</f>
        <v>150/70</v>
      </c>
      <c r="AX137" s="186" t="str">
        <f>R137</f>
        <v>зависимая</v>
      </c>
      <c r="AY137" s="186">
        <f>I137</f>
        <v>1</v>
      </c>
      <c r="AZ137" s="186" t="s">
        <v>440</v>
      </c>
    </row>
    <row r="138" spans="1:52" s="208" customFormat="1" ht="15" customHeight="1" x14ac:dyDescent="0.3">
      <c r="A138" s="114">
        <v>127</v>
      </c>
      <c r="B138" s="174" t="s">
        <v>705</v>
      </c>
      <c r="C138" s="186" t="s">
        <v>445</v>
      </c>
      <c r="D138" s="213" t="s">
        <v>288</v>
      </c>
      <c r="E138" s="213" t="s">
        <v>264</v>
      </c>
      <c r="F138" s="186" t="s">
        <v>442</v>
      </c>
      <c r="G138" s="197" t="s">
        <v>145</v>
      </c>
      <c r="H138" s="210" t="s">
        <v>146</v>
      </c>
      <c r="I138" s="214">
        <v>1</v>
      </c>
      <c r="J138" s="215" t="s">
        <v>446</v>
      </c>
      <c r="K138" s="215">
        <v>65</v>
      </c>
      <c r="L138" s="215">
        <v>7.93</v>
      </c>
      <c r="M138" s="215" t="s">
        <v>438</v>
      </c>
      <c r="N138" s="215" t="s">
        <v>218</v>
      </c>
      <c r="O138" s="215" t="s">
        <v>219</v>
      </c>
      <c r="P138" s="215" t="s">
        <v>218</v>
      </c>
      <c r="Q138" s="216" t="s">
        <v>219</v>
      </c>
      <c r="R138" s="215" t="s">
        <v>296</v>
      </c>
      <c r="S138" s="215" t="s">
        <v>219</v>
      </c>
      <c r="T138" s="215" t="s">
        <v>444</v>
      </c>
      <c r="U138" s="214">
        <v>3083.34</v>
      </c>
      <c r="V138" s="214">
        <v>3010.41</v>
      </c>
      <c r="W138" s="213">
        <v>383.62</v>
      </c>
      <c r="X138" s="217" t="s">
        <v>456</v>
      </c>
      <c r="Y138" s="213">
        <v>383.62</v>
      </c>
      <c r="Z138" s="217" t="s">
        <v>456</v>
      </c>
      <c r="AA138" s="213">
        <v>374.58</v>
      </c>
      <c r="AB138" s="217" t="s">
        <v>456</v>
      </c>
      <c r="AC138" s="213">
        <v>300.27</v>
      </c>
      <c r="AD138" s="217" t="s">
        <v>207</v>
      </c>
      <c r="AE138" s="213">
        <v>115.67</v>
      </c>
      <c r="AF138" s="217" t="s">
        <v>207</v>
      </c>
      <c r="AG138" s="213">
        <v>77.81</v>
      </c>
      <c r="AH138" s="217" t="s">
        <v>207</v>
      </c>
      <c r="AI138" s="213">
        <v>68.040000000000006</v>
      </c>
      <c r="AJ138" s="217" t="s">
        <v>207</v>
      </c>
      <c r="AK138" s="213">
        <v>69.83</v>
      </c>
      <c r="AL138" s="217" t="s">
        <v>207</v>
      </c>
      <c r="AM138" s="213">
        <v>87.86</v>
      </c>
      <c r="AN138" s="217" t="s">
        <v>207</v>
      </c>
      <c r="AO138" s="213">
        <v>411.64</v>
      </c>
      <c r="AP138" s="217" t="s">
        <v>207</v>
      </c>
      <c r="AQ138" s="213">
        <v>343.08</v>
      </c>
      <c r="AR138" s="217" t="s">
        <v>207</v>
      </c>
      <c r="AS138" s="213">
        <v>443.25</v>
      </c>
      <c r="AT138" s="217" t="s">
        <v>207</v>
      </c>
      <c r="AU138" s="196">
        <f t="shared" si="8"/>
        <v>3059.2699999999995</v>
      </c>
      <c r="AV138" s="214">
        <f>1.15+0.68</f>
        <v>1.83</v>
      </c>
      <c r="AW138" s="186" t="str">
        <f>M138</f>
        <v>150/70</v>
      </c>
      <c r="AX138" s="186" t="str">
        <f>R138</f>
        <v>зависимая</v>
      </c>
      <c r="AY138" s="186">
        <f>I138</f>
        <v>1</v>
      </c>
      <c r="AZ138" s="186" t="s">
        <v>440</v>
      </c>
    </row>
    <row r="139" spans="1:52" s="208" customFormat="1" ht="15" customHeight="1" x14ac:dyDescent="0.3">
      <c r="A139" s="73">
        <v>128</v>
      </c>
      <c r="B139" s="174" t="s">
        <v>706</v>
      </c>
      <c r="C139" s="196" t="s">
        <v>435</v>
      </c>
      <c r="D139" s="196" t="s">
        <v>288</v>
      </c>
      <c r="E139" s="196" t="s">
        <v>205</v>
      </c>
      <c r="F139" s="196" t="s">
        <v>447</v>
      </c>
      <c r="G139" s="197" t="s">
        <v>145</v>
      </c>
      <c r="H139" s="198" t="s">
        <v>146</v>
      </c>
      <c r="I139" s="199">
        <v>1</v>
      </c>
      <c r="J139" s="200" t="s">
        <v>437</v>
      </c>
      <c r="K139" s="201">
        <v>80</v>
      </c>
      <c r="L139" s="202"/>
      <c r="M139" s="200" t="s">
        <v>438</v>
      </c>
      <c r="N139" s="200" t="s">
        <v>218</v>
      </c>
      <c r="O139" s="200" t="s">
        <v>219</v>
      </c>
      <c r="P139" s="200" t="s">
        <v>218</v>
      </c>
      <c r="Q139" s="200" t="s">
        <v>219</v>
      </c>
      <c r="R139" s="198" t="s">
        <v>296</v>
      </c>
      <c r="S139" s="200" t="s">
        <v>219</v>
      </c>
      <c r="T139" s="173" t="s">
        <v>489</v>
      </c>
      <c r="U139" s="199" t="s">
        <v>444</v>
      </c>
      <c r="V139" s="207">
        <v>2247.23</v>
      </c>
      <c r="W139" s="196">
        <v>557.05999999999995</v>
      </c>
      <c r="X139" s="196" t="s">
        <v>207</v>
      </c>
      <c r="Y139" s="196">
        <v>367.5</v>
      </c>
      <c r="Z139" s="196" t="s">
        <v>207</v>
      </c>
      <c r="AA139" s="196">
        <v>484.95</v>
      </c>
      <c r="AB139" s="196" t="s">
        <v>207</v>
      </c>
      <c r="AC139" s="196">
        <v>308.01</v>
      </c>
      <c r="AD139" s="196" t="s">
        <v>207</v>
      </c>
      <c r="AE139" s="196">
        <v>113.53</v>
      </c>
      <c r="AF139" s="196" t="s">
        <v>207</v>
      </c>
      <c r="AG139" s="196">
        <v>63.86</v>
      </c>
      <c r="AH139" s="196" t="s">
        <v>207</v>
      </c>
      <c r="AI139" s="196">
        <v>60.22</v>
      </c>
      <c r="AJ139" s="196" t="s">
        <v>207</v>
      </c>
      <c r="AK139" s="196">
        <v>61.45</v>
      </c>
      <c r="AL139" s="196" t="s">
        <v>207</v>
      </c>
      <c r="AM139" s="196">
        <v>77.38</v>
      </c>
      <c r="AN139" s="196" t="s">
        <v>207</v>
      </c>
      <c r="AO139" s="196">
        <v>314.79000000000002</v>
      </c>
      <c r="AP139" s="196" t="s">
        <v>207</v>
      </c>
      <c r="AQ139" s="196">
        <v>323.48</v>
      </c>
      <c r="AR139" s="196" t="s">
        <v>207</v>
      </c>
      <c r="AS139" s="196">
        <v>394.8</v>
      </c>
      <c r="AT139" s="196" t="s">
        <v>207</v>
      </c>
      <c r="AU139" s="196">
        <f t="shared" si="8"/>
        <v>3127.03</v>
      </c>
      <c r="AV139" s="199">
        <v>1.85</v>
      </c>
      <c r="AW139" s="196" t="s">
        <v>438</v>
      </c>
      <c r="AX139" s="196" t="s">
        <v>296</v>
      </c>
      <c r="AY139" s="196">
        <v>1</v>
      </c>
      <c r="AZ139" s="196" t="s">
        <v>440</v>
      </c>
    </row>
    <row r="140" spans="1:52" s="208" customFormat="1" ht="15" customHeight="1" x14ac:dyDescent="0.3">
      <c r="A140" s="114">
        <v>129</v>
      </c>
      <c r="B140" s="174" t="s">
        <v>707</v>
      </c>
      <c r="C140" s="186" t="s">
        <v>445</v>
      </c>
      <c r="D140" s="213" t="s">
        <v>288</v>
      </c>
      <c r="E140" s="213" t="s">
        <v>264</v>
      </c>
      <c r="F140" s="186" t="s">
        <v>442</v>
      </c>
      <c r="G140" s="197" t="s">
        <v>145</v>
      </c>
      <c r="H140" s="210" t="s">
        <v>146</v>
      </c>
      <c r="I140" s="214">
        <v>1</v>
      </c>
      <c r="J140" s="215" t="s">
        <v>446</v>
      </c>
      <c r="K140" s="215">
        <v>50</v>
      </c>
      <c r="L140" s="215">
        <v>7.93</v>
      </c>
      <c r="M140" s="215" t="s">
        <v>438</v>
      </c>
      <c r="N140" s="215" t="s">
        <v>218</v>
      </c>
      <c r="O140" s="215" t="s">
        <v>219</v>
      </c>
      <c r="P140" s="215" t="s">
        <v>218</v>
      </c>
      <c r="Q140" s="216" t="s">
        <v>219</v>
      </c>
      <c r="R140" s="215" t="s">
        <v>296</v>
      </c>
      <c r="S140" s="215" t="s">
        <v>219</v>
      </c>
      <c r="T140" s="215" t="s">
        <v>444</v>
      </c>
      <c r="U140" s="214">
        <v>2077.1</v>
      </c>
      <c r="V140" s="214">
        <v>1999.34</v>
      </c>
      <c r="W140" s="213">
        <v>229.58</v>
      </c>
      <c r="X140" s="217" t="s">
        <v>456</v>
      </c>
      <c r="Y140" s="213">
        <v>229.58</v>
      </c>
      <c r="Z140" s="217" t="s">
        <v>456</v>
      </c>
      <c r="AA140" s="213">
        <v>228.22</v>
      </c>
      <c r="AB140" s="217" t="s">
        <v>456</v>
      </c>
      <c r="AC140" s="213">
        <v>148.46</v>
      </c>
      <c r="AD140" s="217" t="s">
        <v>207</v>
      </c>
      <c r="AE140" s="213">
        <v>91.15</v>
      </c>
      <c r="AF140" s="217" t="s">
        <v>207</v>
      </c>
      <c r="AG140" s="213">
        <v>56.33</v>
      </c>
      <c r="AH140" s="217" t="s">
        <v>207</v>
      </c>
      <c r="AI140" s="213">
        <v>50.33</v>
      </c>
      <c r="AJ140" s="217" t="s">
        <v>207</v>
      </c>
      <c r="AK140" s="213">
        <v>54.43</v>
      </c>
      <c r="AL140" s="217" t="s">
        <v>207</v>
      </c>
      <c r="AM140" s="213">
        <v>65.45</v>
      </c>
      <c r="AN140" s="217" t="s">
        <v>207</v>
      </c>
      <c r="AO140" s="213">
        <v>212.48</v>
      </c>
      <c r="AP140" s="217" t="s">
        <v>207</v>
      </c>
      <c r="AQ140" s="213">
        <v>186.73</v>
      </c>
      <c r="AR140" s="217" t="s">
        <v>207</v>
      </c>
      <c r="AS140" s="213">
        <v>219.18</v>
      </c>
      <c r="AT140" s="217" t="s">
        <v>207</v>
      </c>
      <c r="AU140" s="196">
        <f t="shared" si="8"/>
        <v>1771.9200000000003</v>
      </c>
      <c r="AV140" s="214">
        <v>0.88</v>
      </c>
      <c r="AW140" s="186" t="str">
        <f>M140</f>
        <v>150/70</v>
      </c>
      <c r="AX140" s="186" t="str">
        <f>R140</f>
        <v>зависимая</v>
      </c>
      <c r="AY140" s="186">
        <f>I140</f>
        <v>1</v>
      </c>
      <c r="AZ140" s="186" t="s">
        <v>440</v>
      </c>
    </row>
    <row r="141" spans="1:52" s="208" customFormat="1" ht="15" customHeight="1" x14ac:dyDescent="0.3">
      <c r="A141" s="114">
        <v>130</v>
      </c>
      <c r="B141" s="174" t="s">
        <v>708</v>
      </c>
      <c r="C141" s="186" t="s">
        <v>445</v>
      </c>
      <c r="D141" s="213" t="s">
        <v>288</v>
      </c>
      <c r="E141" s="213" t="s">
        <v>264</v>
      </c>
      <c r="F141" s="186" t="s">
        <v>442</v>
      </c>
      <c r="G141" s="197" t="s">
        <v>145</v>
      </c>
      <c r="H141" s="210" t="s">
        <v>146</v>
      </c>
      <c r="I141" s="214">
        <v>1</v>
      </c>
      <c r="J141" s="215" t="s">
        <v>446</v>
      </c>
      <c r="K141" s="215">
        <v>50</v>
      </c>
      <c r="L141" s="215">
        <v>7.93</v>
      </c>
      <c r="M141" s="215" t="s">
        <v>438</v>
      </c>
      <c r="N141" s="215" t="s">
        <v>218</v>
      </c>
      <c r="O141" s="215" t="s">
        <v>219</v>
      </c>
      <c r="P141" s="215" t="s">
        <v>218</v>
      </c>
      <c r="Q141" s="216" t="s">
        <v>219</v>
      </c>
      <c r="R141" s="215" t="s">
        <v>296</v>
      </c>
      <c r="S141" s="215" t="s">
        <v>219</v>
      </c>
      <c r="T141" s="215" t="s">
        <v>444</v>
      </c>
      <c r="U141" s="214">
        <v>1124.8800000000001</v>
      </c>
      <c r="V141" s="214">
        <v>1239.0899999999999</v>
      </c>
      <c r="W141" s="213">
        <v>156.63999999999999</v>
      </c>
      <c r="X141" s="217" t="s">
        <v>456</v>
      </c>
      <c r="Y141" s="213">
        <v>156.63999999999999</v>
      </c>
      <c r="Z141" s="217" t="s">
        <v>456</v>
      </c>
      <c r="AA141" s="213">
        <v>140.27000000000001</v>
      </c>
      <c r="AB141" s="217" t="s">
        <v>456</v>
      </c>
      <c r="AC141" s="213">
        <v>96.42</v>
      </c>
      <c r="AD141" s="217" t="s">
        <v>207</v>
      </c>
      <c r="AE141" s="213">
        <v>53.8</v>
      </c>
      <c r="AF141" s="217" t="s">
        <v>207</v>
      </c>
      <c r="AG141" s="213">
        <v>33.01</v>
      </c>
      <c r="AH141" s="217" t="s">
        <v>207</v>
      </c>
      <c r="AI141" s="213">
        <v>31.13</v>
      </c>
      <c r="AJ141" s="217" t="s">
        <v>207</v>
      </c>
      <c r="AK141" s="213">
        <v>30.89</v>
      </c>
      <c r="AL141" s="217" t="s">
        <v>207</v>
      </c>
      <c r="AM141" s="213">
        <v>40.26</v>
      </c>
      <c r="AN141" s="217" t="s">
        <v>207</v>
      </c>
      <c r="AO141" s="213">
        <v>145.81</v>
      </c>
      <c r="AP141" s="217" t="s">
        <v>207</v>
      </c>
      <c r="AQ141" s="213">
        <v>121.23</v>
      </c>
      <c r="AR141" s="217" t="s">
        <v>207</v>
      </c>
      <c r="AS141" s="213">
        <v>142.83000000000001</v>
      </c>
      <c r="AT141" s="217" t="s">
        <v>207</v>
      </c>
      <c r="AU141" s="196">
        <f t="shared" si="8"/>
        <v>1148.9299999999998</v>
      </c>
      <c r="AV141" s="214">
        <f>0.36+0.26</f>
        <v>0.62</v>
      </c>
      <c r="AW141" s="186" t="str">
        <f>M141</f>
        <v>150/70</v>
      </c>
      <c r="AX141" s="186" t="str">
        <f>R141</f>
        <v>зависимая</v>
      </c>
      <c r="AY141" s="186">
        <f>I141</f>
        <v>1</v>
      </c>
      <c r="AZ141" s="186" t="s">
        <v>440</v>
      </c>
    </row>
    <row r="142" spans="1:52" s="208" customFormat="1" ht="15" customHeight="1" x14ac:dyDescent="0.3">
      <c r="A142" s="114">
        <v>131</v>
      </c>
      <c r="B142" s="174" t="s">
        <v>709</v>
      </c>
      <c r="C142" s="186" t="s">
        <v>445</v>
      </c>
      <c r="D142" s="213" t="s">
        <v>288</v>
      </c>
      <c r="E142" s="213" t="s">
        <v>264</v>
      </c>
      <c r="F142" s="186" t="s">
        <v>442</v>
      </c>
      <c r="G142" s="197" t="s">
        <v>145</v>
      </c>
      <c r="H142" s="210" t="s">
        <v>146</v>
      </c>
      <c r="I142" s="214">
        <v>1</v>
      </c>
      <c r="J142" s="215" t="s">
        <v>446</v>
      </c>
      <c r="K142" s="215">
        <v>32</v>
      </c>
      <c r="L142" s="215">
        <v>7.93</v>
      </c>
      <c r="M142" s="215" t="s">
        <v>438</v>
      </c>
      <c r="N142" s="215" t="s">
        <v>218</v>
      </c>
      <c r="O142" s="215" t="s">
        <v>219</v>
      </c>
      <c r="P142" s="215" t="s">
        <v>218</v>
      </c>
      <c r="Q142" s="216" t="s">
        <v>219</v>
      </c>
      <c r="R142" s="215" t="s">
        <v>296</v>
      </c>
      <c r="S142" s="215" t="s">
        <v>219</v>
      </c>
      <c r="T142" s="215" t="s">
        <v>444</v>
      </c>
      <c r="U142" s="214">
        <v>1000.63</v>
      </c>
      <c r="V142" s="214">
        <v>708.26</v>
      </c>
      <c r="W142" s="213">
        <v>124.53</v>
      </c>
      <c r="X142" s="217" t="s">
        <v>207</v>
      </c>
      <c r="Y142" s="213">
        <v>84.77</v>
      </c>
      <c r="Z142" s="217" t="s">
        <v>207</v>
      </c>
      <c r="AA142" s="213">
        <v>107.44</v>
      </c>
      <c r="AB142" s="217" t="s">
        <v>207</v>
      </c>
      <c r="AC142" s="213">
        <v>70.48</v>
      </c>
      <c r="AD142" s="217" t="s">
        <v>207</v>
      </c>
      <c r="AE142" s="213">
        <v>25.01</v>
      </c>
      <c r="AF142" s="217" t="s">
        <v>207</v>
      </c>
      <c r="AG142" s="213">
        <v>15.02</v>
      </c>
      <c r="AH142" s="217" t="s">
        <v>207</v>
      </c>
      <c r="AI142" s="213">
        <v>13.37</v>
      </c>
      <c r="AJ142" s="217" t="s">
        <v>207</v>
      </c>
      <c r="AK142" s="213">
        <v>11.77</v>
      </c>
      <c r="AL142" s="217" t="s">
        <v>207</v>
      </c>
      <c r="AM142" s="213">
        <v>16.5</v>
      </c>
      <c r="AN142" s="217" t="s">
        <v>207</v>
      </c>
      <c r="AO142" s="213">
        <v>77.31</v>
      </c>
      <c r="AP142" s="217" t="s">
        <v>207</v>
      </c>
      <c r="AQ142" s="213">
        <v>64.09</v>
      </c>
      <c r="AR142" s="217" t="s">
        <v>207</v>
      </c>
      <c r="AS142" s="213">
        <v>81.08</v>
      </c>
      <c r="AT142" s="217" t="s">
        <v>207</v>
      </c>
      <c r="AU142" s="196">
        <f t="shared" si="8"/>
        <v>691.37000000000012</v>
      </c>
      <c r="AV142" s="214">
        <f>0.23+0.13</f>
        <v>0.36</v>
      </c>
      <c r="AW142" s="186" t="str">
        <f>M142</f>
        <v>150/70</v>
      </c>
      <c r="AX142" s="186" t="str">
        <f>R142</f>
        <v>зависимая</v>
      </c>
      <c r="AY142" s="186">
        <f>I142</f>
        <v>1</v>
      </c>
      <c r="AZ142" s="186" t="s">
        <v>440</v>
      </c>
    </row>
    <row r="143" spans="1:52" s="208" customFormat="1" ht="15" customHeight="1" x14ac:dyDescent="0.3">
      <c r="A143" s="73">
        <v>132</v>
      </c>
      <c r="B143" s="174" t="s">
        <v>710</v>
      </c>
      <c r="C143" s="186" t="s">
        <v>445</v>
      </c>
      <c r="D143" s="213" t="s">
        <v>288</v>
      </c>
      <c r="E143" s="213" t="s">
        <v>264</v>
      </c>
      <c r="F143" s="186" t="s">
        <v>442</v>
      </c>
      <c r="G143" s="197" t="s">
        <v>145</v>
      </c>
      <c r="H143" s="210" t="s">
        <v>146</v>
      </c>
      <c r="I143" s="214">
        <v>1</v>
      </c>
      <c r="J143" s="215" t="s">
        <v>446</v>
      </c>
      <c r="K143" s="215">
        <v>65</v>
      </c>
      <c r="L143" s="215">
        <v>7.93</v>
      </c>
      <c r="M143" s="215" t="s">
        <v>438</v>
      </c>
      <c r="N143" s="215" t="s">
        <v>218</v>
      </c>
      <c r="O143" s="215" t="s">
        <v>219</v>
      </c>
      <c r="P143" s="215" t="s">
        <v>218</v>
      </c>
      <c r="Q143" s="216" t="s">
        <v>219</v>
      </c>
      <c r="R143" s="215" t="s">
        <v>296</v>
      </c>
      <c r="S143" s="215" t="s">
        <v>219</v>
      </c>
      <c r="T143" s="215" t="s">
        <v>444</v>
      </c>
      <c r="U143" s="214">
        <v>2906.57</v>
      </c>
      <c r="V143" s="214">
        <v>2991.24</v>
      </c>
      <c r="W143" s="213">
        <v>382.89</v>
      </c>
      <c r="X143" s="217" t="s">
        <v>456</v>
      </c>
      <c r="Y143" s="213">
        <v>383.65</v>
      </c>
      <c r="Z143" s="217" t="s">
        <v>456</v>
      </c>
      <c r="AA143" s="213">
        <v>383.65</v>
      </c>
      <c r="AB143" s="217" t="s">
        <v>456</v>
      </c>
      <c r="AC143" s="213">
        <v>246.09</v>
      </c>
      <c r="AD143" s="217" t="s">
        <v>207</v>
      </c>
      <c r="AE143" s="213">
        <v>125.98</v>
      </c>
      <c r="AF143" s="217" t="s">
        <v>207</v>
      </c>
      <c r="AG143" s="213">
        <v>70.38</v>
      </c>
      <c r="AH143" s="217" t="s">
        <v>207</v>
      </c>
      <c r="AI143" s="213">
        <v>63.93</v>
      </c>
      <c r="AJ143" s="217" t="s">
        <v>207</v>
      </c>
      <c r="AK143" s="213">
        <v>67.27</v>
      </c>
      <c r="AL143" s="217" t="s">
        <v>207</v>
      </c>
      <c r="AM143" s="213">
        <v>85.15</v>
      </c>
      <c r="AN143" s="217" t="s">
        <v>207</v>
      </c>
      <c r="AO143" s="213">
        <v>277.07</v>
      </c>
      <c r="AP143" s="217" t="s">
        <v>207</v>
      </c>
      <c r="AQ143" s="213">
        <v>285.37</v>
      </c>
      <c r="AR143" s="217" t="s">
        <v>207</v>
      </c>
      <c r="AS143" s="213">
        <v>367.28</v>
      </c>
      <c r="AT143" s="217" t="s">
        <v>207</v>
      </c>
      <c r="AU143" s="196">
        <f t="shared" si="8"/>
        <v>2738.71</v>
      </c>
      <c r="AV143" s="214">
        <f>1.15+0.64</f>
        <v>1.79</v>
      </c>
      <c r="AW143" s="186" t="str">
        <f>M143</f>
        <v>150/70</v>
      </c>
      <c r="AX143" s="186" t="str">
        <f>R143</f>
        <v>зависимая</v>
      </c>
      <c r="AY143" s="186">
        <f>I143</f>
        <v>1</v>
      </c>
      <c r="AZ143" s="186" t="s">
        <v>440</v>
      </c>
    </row>
    <row r="144" spans="1:52" s="208" customFormat="1" ht="15" customHeight="1" x14ac:dyDescent="0.3">
      <c r="A144" s="114">
        <v>133</v>
      </c>
      <c r="B144" s="174" t="s">
        <v>711</v>
      </c>
      <c r="C144" s="186" t="s">
        <v>445</v>
      </c>
      <c r="D144" s="213" t="s">
        <v>288</v>
      </c>
      <c r="E144" s="213" t="s">
        <v>264</v>
      </c>
      <c r="F144" s="186" t="s">
        <v>442</v>
      </c>
      <c r="G144" s="197" t="s">
        <v>145</v>
      </c>
      <c r="H144" s="210" t="s">
        <v>146</v>
      </c>
      <c r="I144" s="214">
        <v>1</v>
      </c>
      <c r="J144" s="215" t="s">
        <v>446</v>
      </c>
      <c r="K144" s="210">
        <v>40</v>
      </c>
      <c r="L144" s="215">
        <v>7.93</v>
      </c>
      <c r="M144" s="215" t="s">
        <v>438</v>
      </c>
      <c r="N144" s="215" t="s">
        <v>218</v>
      </c>
      <c r="O144" s="215" t="s">
        <v>219</v>
      </c>
      <c r="P144" s="215" t="s">
        <v>218</v>
      </c>
      <c r="Q144" s="216" t="s">
        <v>219</v>
      </c>
      <c r="R144" s="215" t="s">
        <v>296</v>
      </c>
      <c r="S144" s="215" t="s">
        <v>219</v>
      </c>
      <c r="T144" s="186" t="s">
        <v>490</v>
      </c>
      <c r="U144" s="220">
        <v>991.03</v>
      </c>
      <c r="V144" s="220">
        <v>1091.54</v>
      </c>
      <c r="W144" s="213">
        <v>148.5</v>
      </c>
      <c r="X144" s="217" t="s">
        <v>207</v>
      </c>
      <c r="Y144" s="213">
        <v>114</v>
      </c>
      <c r="Z144" s="217" t="s">
        <v>207</v>
      </c>
      <c r="AA144" s="213">
        <v>142.19</v>
      </c>
      <c r="AB144" s="217" t="s">
        <v>207</v>
      </c>
      <c r="AC144" s="213">
        <v>83.61</v>
      </c>
      <c r="AD144" s="217" t="s">
        <v>207</v>
      </c>
      <c r="AE144" s="213">
        <v>38.299999999999997</v>
      </c>
      <c r="AF144" s="217" t="s">
        <v>207</v>
      </c>
      <c r="AG144" s="213">
        <v>23.19</v>
      </c>
      <c r="AH144" s="217" t="s">
        <v>207</v>
      </c>
      <c r="AI144" s="213">
        <v>26.83</v>
      </c>
      <c r="AJ144" s="217" t="s">
        <v>456</v>
      </c>
      <c r="AK144" s="213">
        <v>21.68</v>
      </c>
      <c r="AL144" s="217" t="s">
        <v>207</v>
      </c>
      <c r="AM144" s="213">
        <v>24.52</v>
      </c>
      <c r="AN144" s="217" t="s">
        <v>207</v>
      </c>
      <c r="AO144" s="213">
        <v>179.63</v>
      </c>
      <c r="AP144" s="217" t="s">
        <v>207</v>
      </c>
      <c r="AQ144" s="213">
        <v>100.94</v>
      </c>
      <c r="AR144" s="217" t="s">
        <v>207</v>
      </c>
      <c r="AS144" s="213">
        <v>121.77</v>
      </c>
      <c r="AT144" s="217" t="s">
        <v>207</v>
      </c>
      <c r="AU144" s="213">
        <f>W144+Y144+AA144+AC144+AE144+AG144+AI144+AK144+AM144+AO144+AQ144+AS144</f>
        <v>1025.1600000000001</v>
      </c>
      <c r="AV144" s="214">
        <v>0.54</v>
      </c>
      <c r="AW144" s="186" t="str">
        <f>M144</f>
        <v>150/70</v>
      </c>
      <c r="AX144" s="186" t="str">
        <f>R144</f>
        <v>зависимая</v>
      </c>
      <c r="AY144" s="186">
        <f>I144</f>
        <v>1</v>
      </c>
      <c r="AZ144" s="186" t="s">
        <v>440</v>
      </c>
    </row>
    <row r="145" spans="1:52" s="208" customFormat="1" ht="15" customHeight="1" x14ac:dyDescent="0.3">
      <c r="A145" s="114">
        <v>134</v>
      </c>
      <c r="B145" s="174" t="s">
        <v>712</v>
      </c>
      <c r="C145" s="204" t="s">
        <v>435</v>
      </c>
      <c r="D145" s="199" t="s">
        <v>288</v>
      </c>
      <c r="E145" s="199" t="s">
        <v>205</v>
      </c>
      <c r="F145" s="204" t="s">
        <v>491</v>
      </c>
      <c r="G145" s="197" t="s">
        <v>145</v>
      </c>
      <c r="H145" s="198" t="s">
        <v>146</v>
      </c>
      <c r="I145" s="199">
        <v>1</v>
      </c>
      <c r="J145" s="198" t="s">
        <v>437</v>
      </c>
      <c r="K145" s="198">
        <v>32</v>
      </c>
      <c r="L145" s="229"/>
      <c r="M145" s="198" t="s">
        <v>438</v>
      </c>
      <c r="N145" s="198" t="s">
        <v>218</v>
      </c>
      <c r="O145" s="198" t="s">
        <v>219</v>
      </c>
      <c r="P145" s="198" t="s">
        <v>218</v>
      </c>
      <c r="Q145" s="198" t="s">
        <v>219</v>
      </c>
      <c r="R145" s="198" t="s">
        <v>208</v>
      </c>
      <c r="S145" s="198" t="s">
        <v>219</v>
      </c>
      <c r="T145" s="198"/>
      <c r="U145" s="199">
        <v>611.88</v>
      </c>
      <c r="V145" s="199">
        <v>575.74</v>
      </c>
      <c r="W145" s="199">
        <v>102.23</v>
      </c>
      <c r="X145" s="199" t="s">
        <v>207</v>
      </c>
      <c r="Y145" s="199">
        <v>79.834000000000003</v>
      </c>
      <c r="Z145" s="199" t="s">
        <v>207</v>
      </c>
      <c r="AA145" s="199">
        <v>96.96</v>
      </c>
      <c r="AB145" s="199" t="s">
        <v>207</v>
      </c>
      <c r="AC145" s="199">
        <v>60.8</v>
      </c>
      <c r="AD145" s="199" t="s">
        <v>207</v>
      </c>
      <c r="AE145" s="199">
        <v>17.43</v>
      </c>
      <c r="AF145" s="199" t="s">
        <v>207</v>
      </c>
      <c r="AG145" s="199">
        <v>9.593</v>
      </c>
      <c r="AH145" s="199" t="s">
        <v>207</v>
      </c>
      <c r="AI145" s="199">
        <v>9.2850000000000001</v>
      </c>
      <c r="AJ145" s="199" t="s">
        <v>207</v>
      </c>
      <c r="AK145" s="199">
        <v>8.4499999999999993</v>
      </c>
      <c r="AL145" s="199" t="s">
        <v>207</v>
      </c>
      <c r="AM145" s="199">
        <v>12.11</v>
      </c>
      <c r="AN145" s="199" t="s">
        <v>207</v>
      </c>
      <c r="AO145" s="199">
        <v>62.09</v>
      </c>
      <c r="AP145" s="199" t="s">
        <v>207</v>
      </c>
      <c r="AQ145" s="199">
        <v>60</v>
      </c>
      <c r="AR145" s="199" t="s">
        <v>207</v>
      </c>
      <c r="AS145" s="199">
        <v>76.5</v>
      </c>
      <c r="AT145" s="199" t="s">
        <v>207</v>
      </c>
      <c r="AU145" s="196">
        <f>SUM(W145,Y145,AA145,AC145,AE145,AG145,AI145,AK145,AM145,AO145,AQ145,AS145)</f>
        <v>595.28200000000004</v>
      </c>
      <c r="AV145" s="199">
        <v>0.36</v>
      </c>
      <c r="AW145" s="199" t="s">
        <v>438</v>
      </c>
      <c r="AX145" s="204" t="s">
        <v>296</v>
      </c>
      <c r="AY145" s="199">
        <v>1</v>
      </c>
      <c r="AZ145" s="199" t="s">
        <v>440</v>
      </c>
    </row>
    <row r="146" spans="1:52" s="208" customFormat="1" ht="15" customHeight="1" x14ac:dyDescent="0.3">
      <c r="A146" s="114">
        <v>135</v>
      </c>
      <c r="B146" s="174" t="s">
        <v>713</v>
      </c>
      <c r="C146" s="186" t="s">
        <v>445</v>
      </c>
      <c r="D146" s="186" t="s">
        <v>288</v>
      </c>
      <c r="E146" s="186" t="s">
        <v>264</v>
      </c>
      <c r="F146" s="186" t="s">
        <v>442</v>
      </c>
      <c r="G146" s="197" t="s">
        <v>145</v>
      </c>
      <c r="H146" s="210" t="s">
        <v>146</v>
      </c>
      <c r="I146" s="210">
        <v>1</v>
      </c>
      <c r="J146" s="215" t="s">
        <v>446</v>
      </c>
      <c r="K146" s="210">
        <v>32</v>
      </c>
      <c r="L146" s="215">
        <v>7.93</v>
      </c>
      <c r="M146" s="215" t="s">
        <v>438</v>
      </c>
      <c r="N146" s="215" t="s">
        <v>218</v>
      </c>
      <c r="O146" s="215" t="s">
        <v>219</v>
      </c>
      <c r="P146" s="215" t="s">
        <v>218</v>
      </c>
      <c r="Q146" s="216" t="s">
        <v>219</v>
      </c>
      <c r="R146" s="215" t="s">
        <v>296</v>
      </c>
      <c r="S146" s="215" t="s">
        <v>219</v>
      </c>
      <c r="T146" s="215" t="s">
        <v>444</v>
      </c>
      <c r="U146" s="230">
        <v>722.63</v>
      </c>
      <c r="V146" s="230">
        <v>754.54</v>
      </c>
      <c r="W146" s="186">
        <v>124.43</v>
      </c>
      <c r="X146" s="217" t="s">
        <v>207</v>
      </c>
      <c r="Y146" s="186">
        <v>90.98</v>
      </c>
      <c r="Z146" s="217" t="s">
        <v>207</v>
      </c>
      <c r="AA146" s="186">
        <v>127.76</v>
      </c>
      <c r="AB146" s="217" t="s">
        <v>207</v>
      </c>
      <c r="AC146" s="186">
        <v>69.59</v>
      </c>
      <c r="AD146" s="217" t="s">
        <v>207</v>
      </c>
      <c r="AE146" s="186">
        <v>20.85</v>
      </c>
      <c r="AF146" s="217" t="s">
        <v>207</v>
      </c>
      <c r="AG146" s="186">
        <v>13.46</v>
      </c>
      <c r="AH146" s="217" t="s">
        <v>207</v>
      </c>
      <c r="AI146" s="186">
        <v>12.48</v>
      </c>
      <c r="AJ146" s="217" t="s">
        <v>207</v>
      </c>
      <c r="AK146" s="186">
        <v>11.27</v>
      </c>
      <c r="AL146" s="217" t="s">
        <v>207</v>
      </c>
      <c r="AM146" s="186">
        <v>15.42</v>
      </c>
      <c r="AN146" s="217" t="s">
        <v>207</v>
      </c>
      <c r="AO146" s="186">
        <v>71.83</v>
      </c>
      <c r="AP146" s="217" t="s">
        <v>207</v>
      </c>
      <c r="AQ146" s="186">
        <v>76.31</v>
      </c>
      <c r="AR146" s="217" t="s">
        <v>207</v>
      </c>
      <c r="AS146" s="186">
        <v>93.27</v>
      </c>
      <c r="AT146" s="217" t="s">
        <v>207</v>
      </c>
      <c r="AU146" s="186">
        <f>W146+Y146+AA146+AC146+AE146+AG146+AI146+AK146+AM146+AO146+AQ146+AS146</f>
        <v>727.65000000000009</v>
      </c>
      <c r="AV146" s="214">
        <v>0.34</v>
      </c>
      <c r="AW146" s="186" t="str">
        <f t="shared" ref="AW146:AW152" si="9">M146</f>
        <v>150/70</v>
      </c>
      <c r="AX146" s="186" t="str">
        <f t="shared" ref="AX146:AX152" si="10">R146</f>
        <v>зависимая</v>
      </c>
      <c r="AY146" s="186">
        <f t="shared" ref="AY146:AY152" si="11">I146</f>
        <v>1</v>
      </c>
      <c r="AZ146" s="186" t="s">
        <v>440</v>
      </c>
    </row>
    <row r="147" spans="1:52" s="221" customFormat="1" ht="15" customHeight="1" x14ac:dyDescent="0.3">
      <c r="A147" s="73">
        <v>136</v>
      </c>
      <c r="B147" s="174" t="s">
        <v>714</v>
      </c>
      <c r="C147" s="186" t="s">
        <v>445</v>
      </c>
      <c r="D147" s="213" t="s">
        <v>288</v>
      </c>
      <c r="E147" s="213" t="s">
        <v>264</v>
      </c>
      <c r="F147" s="186" t="s">
        <v>492</v>
      </c>
      <c r="G147" s="197" t="s">
        <v>145</v>
      </c>
      <c r="H147" s="210" t="s">
        <v>146</v>
      </c>
      <c r="I147" s="210">
        <v>1</v>
      </c>
      <c r="J147" s="215" t="s">
        <v>446</v>
      </c>
      <c r="K147" s="210">
        <v>65</v>
      </c>
      <c r="L147" s="215">
        <v>7.93</v>
      </c>
      <c r="M147" s="215" t="s">
        <v>438</v>
      </c>
      <c r="N147" s="215" t="s">
        <v>218</v>
      </c>
      <c r="O147" s="215" t="s">
        <v>219</v>
      </c>
      <c r="P147" s="215" t="s">
        <v>218</v>
      </c>
      <c r="Q147" s="216" t="s">
        <v>219</v>
      </c>
      <c r="R147" s="215" t="s">
        <v>296</v>
      </c>
      <c r="S147" s="215" t="s">
        <v>219</v>
      </c>
      <c r="T147" s="215" t="s">
        <v>444</v>
      </c>
      <c r="U147" s="214">
        <v>3305.23</v>
      </c>
      <c r="V147" s="214">
        <v>3296.08</v>
      </c>
      <c r="W147" s="186">
        <v>523.16999999999996</v>
      </c>
      <c r="X147" s="217" t="s">
        <v>207</v>
      </c>
      <c r="Y147" s="213">
        <v>434.51</v>
      </c>
      <c r="Z147" s="217" t="s">
        <v>207</v>
      </c>
      <c r="AA147" s="213">
        <v>440.31</v>
      </c>
      <c r="AB147" s="217" t="s">
        <v>207</v>
      </c>
      <c r="AC147" s="213">
        <v>283.66000000000003</v>
      </c>
      <c r="AD147" s="217" t="s">
        <v>207</v>
      </c>
      <c r="AE147" s="213">
        <f>39.61+76.07</f>
        <v>115.67999999999999</v>
      </c>
      <c r="AF147" s="217" t="s">
        <v>207</v>
      </c>
      <c r="AG147" s="213">
        <f>75.77</f>
        <v>75.77</v>
      </c>
      <c r="AH147" s="217" t="s">
        <v>207</v>
      </c>
      <c r="AI147" s="213">
        <v>70.62</v>
      </c>
      <c r="AJ147" s="217" t="s">
        <v>207</v>
      </c>
      <c r="AK147" s="213">
        <v>75.489999999999995</v>
      </c>
      <c r="AL147" s="217" t="s">
        <v>207</v>
      </c>
      <c r="AM147" s="213">
        <v>87.72</v>
      </c>
      <c r="AN147" s="217" t="s">
        <v>207</v>
      </c>
      <c r="AO147" s="213">
        <v>321.54000000000002</v>
      </c>
      <c r="AP147" s="217" t="s">
        <v>207</v>
      </c>
      <c r="AQ147" s="213">
        <v>311.86</v>
      </c>
      <c r="AR147" s="217" t="s">
        <v>207</v>
      </c>
      <c r="AS147" s="213">
        <v>419.06</v>
      </c>
      <c r="AT147" s="217" t="s">
        <v>207</v>
      </c>
      <c r="AU147" s="186">
        <f>W147+Y147+AA147+AC147+AE147+AG147+AI147+AK147+AM147+AO147+AQ147+AS147</f>
        <v>3159.3900000000003</v>
      </c>
      <c r="AV147" s="214">
        <f>1.694+0.0061</f>
        <v>1.7000999999999999</v>
      </c>
      <c r="AW147" s="186" t="str">
        <f t="shared" si="9"/>
        <v>150/70</v>
      </c>
      <c r="AX147" s="186" t="str">
        <f t="shared" si="10"/>
        <v>зависимая</v>
      </c>
      <c r="AY147" s="186">
        <f t="shared" si="11"/>
        <v>1</v>
      </c>
      <c r="AZ147" s="186" t="s">
        <v>440</v>
      </c>
    </row>
    <row r="148" spans="1:52" s="208" customFormat="1" ht="15" customHeight="1" x14ac:dyDescent="0.3">
      <c r="A148" s="114">
        <v>137</v>
      </c>
      <c r="B148" s="174" t="s">
        <v>715</v>
      </c>
      <c r="C148" s="186" t="s">
        <v>445</v>
      </c>
      <c r="D148" s="196" t="s">
        <v>288</v>
      </c>
      <c r="E148" s="196" t="s">
        <v>264</v>
      </c>
      <c r="F148" s="196" t="s">
        <v>442</v>
      </c>
      <c r="G148" s="197" t="s">
        <v>145</v>
      </c>
      <c r="H148" s="198" t="s">
        <v>146</v>
      </c>
      <c r="I148" s="199">
        <v>1</v>
      </c>
      <c r="J148" s="200" t="s">
        <v>446</v>
      </c>
      <c r="K148" s="198">
        <v>40</v>
      </c>
      <c r="L148" s="200">
        <v>7.93</v>
      </c>
      <c r="M148" s="200" t="s">
        <v>438</v>
      </c>
      <c r="N148" s="200" t="s">
        <v>218</v>
      </c>
      <c r="O148" s="200" t="s">
        <v>219</v>
      </c>
      <c r="P148" s="200" t="s">
        <v>218</v>
      </c>
      <c r="Q148" s="215" t="s">
        <v>219</v>
      </c>
      <c r="R148" s="200" t="s">
        <v>296</v>
      </c>
      <c r="S148" s="200" t="s">
        <v>219</v>
      </c>
      <c r="T148" s="200" t="s">
        <v>444</v>
      </c>
      <c r="U148" s="207">
        <v>1077.77</v>
      </c>
      <c r="V148" s="207">
        <v>1093.1400000000001</v>
      </c>
      <c r="W148" s="196">
        <v>172.25</v>
      </c>
      <c r="X148" s="173" t="s">
        <v>207</v>
      </c>
      <c r="Y148" s="196">
        <v>131.65</v>
      </c>
      <c r="Z148" s="173" t="s">
        <v>207</v>
      </c>
      <c r="AA148" s="196">
        <v>170</v>
      </c>
      <c r="AB148" s="173" t="s">
        <v>207</v>
      </c>
      <c r="AC148" s="196">
        <v>107.05</v>
      </c>
      <c r="AD148" s="173" t="s">
        <v>207</v>
      </c>
      <c r="AE148" s="196">
        <v>37.74</v>
      </c>
      <c r="AF148" s="173" t="s">
        <v>207</v>
      </c>
      <c r="AG148" s="196">
        <v>23.31</v>
      </c>
      <c r="AH148" s="173" t="s">
        <v>207</v>
      </c>
      <c r="AI148" s="196">
        <v>23.44</v>
      </c>
      <c r="AJ148" s="173" t="s">
        <v>207</v>
      </c>
      <c r="AK148" s="196">
        <v>21.6</v>
      </c>
      <c r="AL148" s="173" t="s">
        <v>207</v>
      </c>
      <c r="AM148" s="196">
        <v>26.22</v>
      </c>
      <c r="AN148" s="173" t="s">
        <v>207</v>
      </c>
      <c r="AO148" s="196">
        <v>108.98</v>
      </c>
      <c r="AP148" s="173" t="s">
        <v>207</v>
      </c>
      <c r="AQ148" s="196">
        <v>113.55</v>
      </c>
      <c r="AR148" s="173" t="s">
        <v>207</v>
      </c>
      <c r="AS148" s="196">
        <v>140.01</v>
      </c>
      <c r="AT148" s="173" t="s">
        <v>207</v>
      </c>
      <c r="AU148" s="173">
        <f>SUM(W148,Y148,AA148,AC148,AE148,AG148,AI148,AK148,AM148,AO148,AQ148,AS148)</f>
        <v>1075.8</v>
      </c>
      <c r="AV148" s="199">
        <v>0.53</v>
      </c>
      <c r="AW148" s="196" t="str">
        <f t="shared" si="9"/>
        <v>150/70</v>
      </c>
      <c r="AX148" s="196" t="str">
        <f t="shared" si="10"/>
        <v>зависимая</v>
      </c>
      <c r="AY148" s="196">
        <f t="shared" si="11"/>
        <v>1</v>
      </c>
      <c r="AZ148" s="196" t="s">
        <v>440</v>
      </c>
    </row>
    <row r="149" spans="1:52" s="208" customFormat="1" ht="15" customHeight="1" x14ac:dyDescent="0.3">
      <c r="A149" s="114">
        <v>138</v>
      </c>
      <c r="B149" s="174" t="s">
        <v>716</v>
      </c>
      <c r="C149" s="186" t="s">
        <v>445</v>
      </c>
      <c r="D149" s="196" t="s">
        <v>288</v>
      </c>
      <c r="E149" s="196" t="s">
        <v>264</v>
      </c>
      <c r="F149" s="196" t="s">
        <v>442</v>
      </c>
      <c r="G149" s="197" t="s">
        <v>145</v>
      </c>
      <c r="H149" s="198" t="s">
        <v>146</v>
      </c>
      <c r="I149" s="199">
        <v>1</v>
      </c>
      <c r="J149" s="200" t="s">
        <v>446</v>
      </c>
      <c r="K149" s="198">
        <v>40</v>
      </c>
      <c r="L149" s="200">
        <v>7.93</v>
      </c>
      <c r="M149" s="200" t="s">
        <v>438</v>
      </c>
      <c r="N149" s="200" t="s">
        <v>218</v>
      </c>
      <c r="O149" s="200" t="s">
        <v>219</v>
      </c>
      <c r="P149" s="200" t="s">
        <v>218</v>
      </c>
      <c r="Q149" s="215" t="s">
        <v>219</v>
      </c>
      <c r="R149" s="200" t="s">
        <v>296</v>
      </c>
      <c r="S149" s="200" t="s">
        <v>219</v>
      </c>
      <c r="T149" s="200" t="s">
        <v>444</v>
      </c>
      <c r="U149" s="207">
        <v>1229.23</v>
      </c>
      <c r="V149" s="207">
        <v>1202.47</v>
      </c>
      <c r="W149" s="196">
        <v>209.13</v>
      </c>
      <c r="X149" s="173" t="s">
        <v>207</v>
      </c>
      <c r="Y149" s="196">
        <v>152.31</v>
      </c>
      <c r="Z149" s="173" t="s">
        <v>207</v>
      </c>
      <c r="AA149" s="196">
        <v>196.82</v>
      </c>
      <c r="AB149" s="173" t="s">
        <v>207</v>
      </c>
      <c r="AC149" s="196">
        <v>120.53</v>
      </c>
      <c r="AD149" s="173" t="s">
        <v>207</v>
      </c>
      <c r="AE149" s="196">
        <v>51.38</v>
      </c>
      <c r="AF149" s="173" t="s">
        <v>207</v>
      </c>
      <c r="AG149" s="196">
        <v>29</v>
      </c>
      <c r="AH149" s="173" t="s">
        <v>207</v>
      </c>
      <c r="AI149" s="196">
        <v>25.37</v>
      </c>
      <c r="AJ149" s="173" t="s">
        <v>207</v>
      </c>
      <c r="AK149" s="196">
        <v>24.67</v>
      </c>
      <c r="AL149" s="173" t="s">
        <v>207</v>
      </c>
      <c r="AM149" s="196">
        <v>33.54</v>
      </c>
      <c r="AN149" s="173" t="s">
        <v>207</v>
      </c>
      <c r="AO149" s="196">
        <v>134.53</v>
      </c>
      <c r="AP149" s="173" t="s">
        <v>207</v>
      </c>
      <c r="AQ149" s="196">
        <v>131.25</v>
      </c>
      <c r="AR149" s="173" t="s">
        <v>207</v>
      </c>
      <c r="AS149" s="196">
        <v>165.29</v>
      </c>
      <c r="AT149" s="173" t="s">
        <v>207</v>
      </c>
      <c r="AU149" s="173">
        <f>SUM(W149,Y149,AA149,AC149,AE149,AG149,AI149,AK149,AM149,AO149,AQ149,AS149)</f>
        <v>1273.8199999999997</v>
      </c>
      <c r="AV149" s="199">
        <v>0.52</v>
      </c>
      <c r="AW149" s="196" t="str">
        <f t="shared" si="9"/>
        <v>150/70</v>
      </c>
      <c r="AX149" s="196" t="str">
        <f t="shared" si="10"/>
        <v>зависимая</v>
      </c>
      <c r="AY149" s="196">
        <f t="shared" si="11"/>
        <v>1</v>
      </c>
      <c r="AZ149" s="196" t="s">
        <v>440</v>
      </c>
    </row>
    <row r="150" spans="1:52" s="208" customFormat="1" ht="15" customHeight="1" x14ac:dyDescent="0.3">
      <c r="A150" s="114">
        <v>139</v>
      </c>
      <c r="B150" s="174" t="s">
        <v>717</v>
      </c>
      <c r="C150" s="186" t="s">
        <v>445</v>
      </c>
      <c r="D150" s="196" t="s">
        <v>288</v>
      </c>
      <c r="E150" s="196" t="s">
        <v>264</v>
      </c>
      <c r="F150" s="196" t="s">
        <v>493</v>
      </c>
      <c r="G150" s="197" t="s">
        <v>145</v>
      </c>
      <c r="H150" s="198" t="s">
        <v>146</v>
      </c>
      <c r="I150" s="199">
        <v>1</v>
      </c>
      <c r="J150" s="200" t="s">
        <v>446</v>
      </c>
      <c r="K150" s="200">
        <v>65</v>
      </c>
      <c r="L150" s="200">
        <v>7.93</v>
      </c>
      <c r="M150" s="200" t="s">
        <v>438</v>
      </c>
      <c r="N150" s="200" t="s">
        <v>218</v>
      </c>
      <c r="O150" s="200" t="s">
        <v>219</v>
      </c>
      <c r="P150" s="200" t="s">
        <v>218</v>
      </c>
      <c r="Q150" s="215" t="s">
        <v>219</v>
      </c>
      <c r="R150" s="200" t="s">
        <v>296</v>
      </c>
      <c r="S150" s="200" t="s">
        <v>219</v>
      </c>
      <c r="T150" s="200" t="s">
        <v>444</v>
      </c>
      <c r="U150" s="207">
        <v>3736.65</v>
      </c>
      <c r="V150" s="207">
        <v>3613.29</v>
      </c>
      <c r="W150" s="196">
        <v>581.17850571428562</v>
      </c>
      <c r="X150" s="173" t="s">
        <v>207</v>
      </c>
      <c r="Y150" s="196">
        <v>471.81</v>
      </c>
      <c r="Z150" s="173" t="s">
        <v>207</v>
      </c>
      <c r="AA150" s="196">
        <v>592.33000000000004</v>
      </c>
      <c r="AB150" s="173" t="s">
        <v>207</v>
      </c>
      <c r="AC150" s="196">
        <v>387.25</v>
      </c>
      <c r="AD150" s="173" t="s">
        <v>207</v>
      </c>
      <c r="AE150" s="196">
        <f>88.51+46.78</f>
        <v>135.29000000000002</v>
      </c>
      <c r="AF150" s="173" t="s">
        <v>207</v>
      </c>
      <c r="AG150" s="196">
        <f>87.04</f>
        <v>87.04</v>
      </c>
      <c r="AH150" s="173" t="s">
        <v>207</v>
      </c>
      <c r="AI150" s="196">
        <v>86.61</v>
      </c>
      <c r="AJ150" s="173" t="s">
        <v>207</v>
      </c>
      <c r="AK150" s="196">
        <v>81.84</v>
      </c>
      <c r="AL150" s="173" t="s">
        <v>207</v>
      </c>
      <c r="AM150" s="196">
        <v>107.76</v>
      </c>
      <c r="AN150" s="173" t="s">
        <v>207</v>
      </c>
      <c r="AO150" s="196">
        <v>298.75</v>
      </c>
      <c r="AP150" s="173" t="s">
        <v>207</v>
      </c>
      <c r="AQ150" s="196">
        <v>389.95</v>
      </c>
      <c r="AR150" s="173" t="s">
        <v>207</v>
      </c>
      <c r="AS150" s="196">
        <v>480.48</v>
      </c>
      <c r="AT150" s="173" t="s">
        <v>207</v>
      </c>
      <c r="AU150" s="204">
        <f>SUM(W150,Y150,AA150,AC150,AE150,AG150,AI150,AK150,AM150,AO150,AQ150,AS150)</f>
        <v>3700.2885057142857</v>
      </c>
      <c r="AV150" s="199">
        <v>1.97</v>
      </c>
      <c r="AW150" s="196" t="str">
        <f t="shared" si="9"/>
        <v>150/70</v>
      </c>
      <c r="AX150" s="196" t="str">
        <f t="shared" si="10"/>
        <v>зависимая</v>
      </c>
      <c r="AY150" s="196">
        <f t="shared" si="11"/>
        <v>1</v>
      </c>
      <c r="AZ150" s="196" t="s">
        <v>440</v>
      </c>
    </row>
    <row r="151" spans="1:52" s="208" customFormat="1" ht="15" customHeight="1" x14ac:dyDescent="0.3">
      <c r="A151" s="73">
        <v>140</v>
      </c>
      <c r="B151" s="174" t="s">
        <v>718</v>
      </c>
      <c r="C151" s="186" t="s">
        <v>445</v>
      </c>
      <c r="D151" s="213" t="s">
        <v>288</v>
      </c>
      <c r="E151" s="213" t="s">
        <v>264</v>
      </c>
      <c r="F151" s="186" t="s">
        <v>442</v>
      </c>
      <c r="G151" s="197" t="s">
        <v>145</v>
      </c>
      <c r="H151" s="210" t="s">
        <v>146</v>
      </c>
      <c r="I151" s="214">
        <v>2</v>
      </c>
      <c r="J151" s="215" t="s">
        <v>446</v>
      </c>
      <c r="K151" s="210">
        <v>40</v>
      </c>
      <c r="L151" s="215">
        <v>7.93</v>
      </c>
      <c r="M151" s="215" t="s">
        <v>438</v>
      </c>
      <c r="N151" s="215" t="s">
        <v>218</v>
      </c>
      <c r="O151" s="215" t="s">
        <v>219</v>
      </c>
      <c r="P151" s="215" t="s">
        <v>218</v>
      </c>
      <c r="Q151" s="216" t="s">
        <v>219</v>
      </c>
      <c r="R151" s="215" t="s">
        <v>296</v>
      </c>
      <c r="S151" s="215" t="s">
        <v>219</v>
      </c>
      <c r="T151" s="215" t="s">
        <v>444</v>
      </c>
      <c r="U151" s="220">
        <v>2136.61</v>
      </c>
      <c r="V151" s="220">
        <v>2296.6</v>
      </c>
      <c r="W151" s="213">
        <v>333.49</v>
      </c>
      <c r="X151" s="217" t="s">
        <v>207</v>
      </c>
      <c r="Y151" s="213">
        <v>201.58</v>
      </c>
      <c r="Z151" s="217" t="s">
        <v>207</v>
      </c>
      <c r="AA151" s="213">
        <v>321.8</v>
      </c>
      <c r="AB151" s="217" t="s">
        <v>207</v>
      </c>
      <c r="AC151" s="213">
        <v>212.2</v>
      </c>
      <c r="AD151" s="217" t="s">
        <v>207</v>
      </c>
      <c r="AE151" s="213">
        <v>88.12</v>
      </c>
      <c r="AF151" s="217" t="s">
        <v>207</v>
      </c>
      <c r="AG151" s="213">
        <v>54.61</v>
      </c>
      <c r="AH151" s="217" t="s">
        <v>207</v>
      </c>
      <c r="AI151" s="213">
        <v>48.25</v>
      </c>
      <c r="AJ151" s="217" t="s">
        <v>207</v>
      </c>
      <c r="AK151" s="213">
        <v>44.71</v>
      </c>
      <c r="AL151" s="217" t="s">
        <v>207</v>
      </c>
      <c r="AM151" s="213">
        <v>61.68</v>
      </c>
      <c r="AN151" s="217" t="s">
        <v>207</v>
      </c>
      <c r="AO151" s="213">
        <v>191.86</v>
      </c>
      <c r="AP151" s="217" t="s">
        <v>207</v>
      </c>
      <c r="AQ151" s="213">
        <v>203.01</v>
      </c>
      <c r="AR151" s="217" t="s">
        <v>207</v>
      </c>
      <c r="AS151" s="213">
        <v>255.08</v>
      </c>
      <c r="AT151" s="217" t="s">
        <v>207</v>
      </c>
      <c r="AU151" s="213">
        <f>W151+Y151+AA151+AC151+AE151+AG151+AI151+AK151+AM151+AO151+AQ151+AS151</f>
        <v>2016.39</v>
      </c>
      <c r="AV151" s="214">
        <v>1.05</v>
      </c>
      <c r="AW151" s="186" t="str">
        <f t="shared" si="9"/>
        <v>150/70</v>
      </c>
      <c r="AX151" s="186" t="str">
        <f t="shared" si="10"/>
        <v>зависимая</v>
      </c>
      <c r="AY151" s="186">
        <f t="shared" si="11"/>
        <v>2</v>
      </c>
      <c r="AZ151" s="186" t="s">
        <v>440</v>
      </c>
    </row>
    <row r="152" spans="1:52" s="208" customFormat="1" ht="15" customHeight="1" x14ac:dyDescent="0.3">
      <c r="A152" s="114">
        <v>141</v>
      </c>
      <c r="B152" s="174" t="s">
        <v>719</v>
      </c>
      <c r="C152" s="186" t="s">
        <v>445</v>
      </c>
      <c r="D152" s="186" t="s">
        <v>288</v>
      </c>
      <c r="E152" s="186" t="s">
        <v>264</v>
      </c>
      <c r="F152" s="186" t="s">
        <v>442</v>
      </c>
      <c r="G152" s="197" t="s">
        <v>145</v>
      </c>
      <c r="H152" s="210" t="s">
        <v>146</v>
      </c>
      <c r="I152" s="210">
        <v>1</v>
      </c>
      <c r="J152" s="215" t="s">
        <v>446</v>
      </c>
      <c r="K152" s="210">
        <v>65</v>
      </c>
      <c r="L152" s="215">
        <v>7.93</v>
      </c>
      <c r="M152" s="215" t="s">
        <v>438</v>
      </c>
      <c r="N152" s="215" t="s">
        <v>218</v>
      </c>
      <c r="O152" s="215" t="s">
        <v>219</v>
      </c>
      <c r="P152" s="215" t="s">
        <v>218</v>
      </c>
      <c r="Q152" s="216" t="s">
        <v>219</v>
      </c>
      <c r="R152" s="215" t="s">
        <v>296</v>
      </c>
      <c r="S152" s="215" t="s">
        <v>219</v>
      </c>
      <c r="T152" s="215" t="s">
        <v>444</v>
      </c>
      <c r="U152" s="230">
        <v>3254.62</v>
      </c>
      <c r="V152" s="230">
        <v>3222.43</v>
      </c>
      <c r="W152" s="230">
        <v>499.71</v>
      </c>
      <c r="X152" s="217" t="s">
        <v>207</v>
      </c>
      <c r="Y152" s="230">
        <v>347.34</v>
      </c>
      <c r="Z152" s="217" t="s">
        <v>207</v>
      </c>
      <c r="AA152" s="230">
        <v>483.17</v>
      </c>
      <c r="AB152" s="217" t="s">
        <v>207</v>
      </c>
      <c r="AC152" s="230">
        <v>324.87</v>
      </c>
      <c r="AD152" s="217" t="s">
        <v>207</v>
      </c>
      <c r="AE152" s="230">
        <v>148.59</v>
      </c>
      <c r="AF152" s="217" t="s">
        <v>207</v>
      </c>
      <c r="AG152" s="230">
        <v>76.75</v>
      </c>
      <c r="AH152" s="217" t="s">
        <v>207</v>
      </c>
      <c r="AI152" s="230">
        <v>70</v>
      </c>
      <c r="AJ152" s="217" t="s">
        <v>207</v>
      </c>
      <c r="AK152" s="230">
        <v>73.989999999999995</v>
      </c>
      <c r="AL152" s="217" t="s">
        <v>207</v>
      </c>
      <c r="AM152" s="230">
        <v>91.37</v>
      </c>
      <c r="AN152" s="217" t="s">
        <v>207</v>
      </c>
      <c r="AO152" s="230">
        <v>358.6</v>
      </c>
      <c r="AP152" s="217" t="s">
        <v>207</v>
      </c>
      <c r="AQ152" s="230">
        <v>322.77999999999997</v>
      </c>
      <c r="AR152" s="217" t="s">
        <v>207</v>
      </c>
      <c r="AS152" s="230">
        <v>406.9</v>
      </c>
      <c r="AT152" s="217" t="s">
        <v>207</v>
      </c>
      <c r="AU152" s="186">
        <f>W152+Y152+AA152+AC152+AE152+AG152+AI152+AK152+AM152+AO152+AQ152+AS152</f>
        <v>3204.07</v>
      </c>
      <c r="AV152" s="140">
        <v>1.86</v>
      </c>
      <c r="AW152" s="186" t="str">
        <f t="shared" si="9"/>
        <v>150/70</v>
      </c>
      <c r="AX152" s="186" t="str">
        <f t="shared" si="10"/>
        <v>зависимая</v>
      </c>
      <c r="AY152" s="186">
        <f t="shared" si="11"/>
        <v>1</v>
      </c>
      <c r="AZ152" s="186" t="s">
        <v>440</v>
      </c>
    </row>
    <row r="153" spans="1:52" s="208" customFormat="1" ht="15" customHeight="1" x14ac:dyDescent="0.3">
      <c r="A153" s="114">
        <v>142</v>
      </c>
      <c r="B153" s="174" t="s">
        <v>720</v>
      </c>
      <c r="C153" s="173" t="s">
        <v>435</v>
      </c>
      <c r="D153" s="196" t="s">
        <v>288</v>
      </c>
      <c r="E153" s="196" t="s">
        <v>205</v>
      </c>
      <c r="F153" s="173" t="s">
        <v>447</v>
      </c>
      <c r="G153" s="197" t="s">
        <v>145</v>
      </c>
      <c r="H153" s="198" t="s">
        <v>146</v>
      </c>
      <c r="I153" s="199">
        <v>1</v>
      </c>
      <c r="J153" s="200" t="s">
        <v>437</v>
      </c>
      <c r="K153" s="201">
        <v>40</v>
      </c>
      <c r="L153" s="202"/>
      <c r="M153" s="200" t="s">
        <v>438</v>
      </c>
      <c r="N153" s="200" t="s">
        <v>218</v>
      </c>
      <c r="O153" s="200" t="s">
        <v>219</v>
      </c>
      <c r="P153" s="200" t="s">
        <v>218</v>
      </c>
      <c r="Q153" s="200" t="s">
        <v>219</v>
      </c>
      <c r="R153" s="200" t="s">
        <v>208</v>
      </c>
      <c r="S153" s="200" t="s">
        <v>219</v>
      </c>
      <c r="T153" s="173" t="s">
        <v>494</v>
      </c>
      <c r="U153" s="199"/>
      <c r="V153" s="199">
        <v>969.77</v>
      </c>
      <c r="W153" s="196">
        <v>202.69</v>
      </c>
      <c r="X153" s="196" t="s">
        <v>207</v>
      </c>
      <c r="Y153" s="196">
        <v>131.37</v>
      </c>
      <c r="Z153" s="196" t="s">
        <v>207</v>
      </c>
      <c r="AA153" s="196">
        <v>208.94</v>
      </c>
      <c r="AB153" s="196" t="s">
        <v>207</v>
      </c>
      <c r="AC153" s="196">
        <v>121.62</v>
      </c>
      <c r="AD153" s="196" t="s">
        <v>207</v>
      </c>
      <c r="AE153" s="196">
        <v>60.63</v>
      </c>
      <c r="AF153" s="196" t="s">
        <v>207</v>
      </c>
      <c r="AG153" s="196">
        <v>30.39</v>
      </c>
      <c r="AH153" s="196" t="s">
        <v>207</v>
      </c>
      <c r="AI153" s="196">
        <v>28.92</v>
      </c>
      <c r="AJ153" s="196" t="s">
        <v>207</v>
      </c>
      <c r="AK153" s="196">
        <v>31.71</v>
      </c>
      <c r="AL153" s="196" t="s">
        <v>207</v>
      </c>
      <c r="AM153" s="196">
        <v>39.54</v>
      </c>
      <c r="AN153" s="196" t="s">
        <v>207</v>
      </c>
      <c r="AO153" s="196">
        <v>134.58000000000001</v>
      </c>
      <c r="AP153" s="196" t="s">
        <v>207</v>
      </c>
      <c r="AQ153" s="196">
        <v>117.4</v>
      </c>
      <c r="AR153" s="196" t="s">
        <v>207</v>
      </c>
      <c r="AS153" s="196">
        <v>149.80000000000001</v>
      </c>
      <c r="AT153" s="196" t="s">
        <v>207</v>
      </c>
      <c r="AU153" s="196">
        <f>SUM(W153,Y153,AA153,AC153,AE153,AG153,AI153,AK153,AM153,AO153,AQ153,AS153)</f>
        <v>1257.5899999999999</v>
      </c>
      <c r="AV153" s="199">
        <v>0.68</v>
      </c>
      <c r="AW153" s="196" t="s">
        <v>438</v>
      </c>
      <c r="AX153" s="173" t="s">
        <v>296</v>
      </c>
      <c r="AY153" s="196">
        <v>1</v>
      </c>
      <c r="AZ153" s="196" t="s">
        <v>440</v>
      </c>
    </row>
    <row r="154" spans="1:52" s="208" customFormat="1" ht="15" customHeight="1" x14ac:dyDescent="0.3">
      <c r="A154" s="114">
        <v>143</v>
      </c>
      <c r="B154" s="174" t="s">
        <v>721</v>
      </c>
      <c r="C154" s="186" t="s">
        <v>445</v>
      </c>
      <c r="D154" s="213" t="s">
        <v>288</v>
      </c>
      <c r="E154" s="213" t="s">
        <v>264</v>
      </c>
      <c r="F154" s="186" t="s">
        <v>442</v>
      </c>
      <c r="G154" s="197" t="s">
        <v>145</v>
      </c>
      <c r="H154" s="210" t="s">
        <v>146</v>
      </c>
      <c r="I154" s="214">
        <v>1</v>
      </c>
      <c r="J154" s="215" t="s">
        <v>446</v>
      </c>
      <c r="K154" s="210">
        <v>80</v>
      </c>
      <c r="L154" s="215">
        <v>7.93</v>
      </c>
      <c r="M154" s="215" t="s">
        <v>438</v>
      </c>
      <c r="N154" s="215" t="s">
        <v>218</v>
      </c>
      <c r="O154" s="215" t="s">
        <v>219</v>
      </c>
      <c r="P154" s="215" t="s">
        <v>218</v>
      </c>
      <c r="Q154" s="216" t="s">
        <v>219</v>
      </c>
      <c r="R154" s="215" t="s">
        <v>296</v>
      </c>
      <c r="S154" s="215" t="s">
        <v>219</v>
      </c>
      <c r="T154" s="186" t="s">
        <v>495</v>
      </c>
      <c r="U154" s="220">
        <v>3333.38</v>
      </c>
      <c r="V154" s="220">
        <v>2818.72</v>
      </c>
      <c r="W154" s="213">
        <v>487.82</v>
      </c>
      <c r="X154" s="217" t="s">
        <v>207</v>
      </c>
      <c r="Y154" s="213">
        <v>317.77</v>
      </c>
      <c r="Z154" s="217" t="s">
        <v>207</v>
      </c>
      <c r="AA154" s="213">
        <v>425.77</v>
      </c>
      <c r="AB154" s="217" t="s">
        <v>207</v>
      </c>
      <c r="AC154" s="213">
        <v>264.54000000000002</v>
      </c>
      <c r="AD154" s="217" t="s">
        <v>207</v>
      </c>
      <c r="AE154" s="213">
        <v>123.26</v>
      </c>
      <c r="AF154" s="217" t="s">
        <v>207</v>
      </c>
      <c r="AG154" s="213">
        <v>73.05</v>
      </c>
      <c r="AH154" s="217" t="s">
        <v>207</v>
      </c>
      <c r="AI154" s="213">
        <v>69.09</v>
      </c>
      <c r="AJ154" s="217" t="s">
        <v>207</v>
      </c>
      <c r="AK154" s="213">
        <v>66.62</v>
      </c>
      <c r="AL154" s="217" t="s">
        <v>207</v>
      </c>
      <c r="AM154" s="213">
        <v>90.57</v>
      </c>
      <c r="AN154" s="217" t="s">
        <v>207</v>
      </c>
      <c r="AO154" s="213">
        <v>318.95999999999998</v>
      </c>
      <c r="AP154" s="217" t="s">
        <v>207</v>
      </c>
      <c r="AQ154" s="213">
        <v>330.57</v>
      </c>
      <c r="AR154" s="217" t="s">
        <v>207</v>
      </c>
      <c r="AS154" s="213">
        <v>417.33</v>
      </c>
      <c r="AT154" s="217" t="s">
        <v>207</v>
      </c>
      <c r="AU154" s="213">
        <f>W154+Y154+AA154+AC154+AE154+AG154+AI154+AK154+AM154+AO154+AQ154+AS154</f>
        <v>2985.3499999999995</v>
      </c>
      <c r="AV154" s="214">
        <v>1.87</v>
      </c>
      <c r="AW154" s="186" t="str">
        <f t="shared" ref="AW154:AW162" si="12">M154</f>
        <v>150/70</v>
      </c>
      <c r="AX154" s="186" t="str">
        <f t="shared" ref="AX154:AX162" si="13">R154</f>
        <v>зависимая</v>
      </c>
      <c r="AY154" s="186">
        <f t="shared" ref="AY154:AY162" si="14">I154</f>
        <v>1</v>
      </c>
      <c r="AZ154" s="186" t="s">
        <v>440</v>
      </c>
    </row>
    <row r="155" spans="1:52" s="208" customFormat="1" ht="15" customHeight="1" x14ac:dyDescent="0.3">
      <c r="A155" s="73">
        <v>144</v>
      </c>
      <c r="B155" s="174" t="s">
        <v>722</v>
      </c>
      <c r="C155" s="186" t="s">
        <v>445</v>
      </c>
      <c r="D155" s="186" t="s">
        <v>288</v>
      </c>
      <c r="E155" s="186" t="s">
        <v>264</v>
      </c>
      <c r="F155" s="186" t="s">
        <v>442</v>
      </c>
      <c r="G155" s="197" t="s">
        <v>145</v>
      </c>
      <c r="H155" s="210" t="s">
        <v>146</v>
      </c>
      <c r="I155" s="210">
        <v>1</v>
      </c>
      <c r="J155" s="215" t="s">
        <v>446</v>
      </c>
      <c r="K155" s="210">
        <v>32</v>
      </c>
      <c r="L155" s="215">
        <v>7.93</v>
      </c>
      <c r="M155" s="215" t="s">
        <v>438</v>
      </c>
      <c r="N155" s="215" t="s">
        <v>218</v>
      </c>
      <c r="O155" s="215" t="s">
        <v>219</v>
      </c>
      <c r="P155" s="215" t="s">
        <v>218</v>
      </c>
      <c r="Q155" s="216" t="s">
        <v>219</v>
      </c>
      <c r="R155" s="215" t="s">
        <v>296</v>
      </c>
      <c r="S155" s="215" t="s">
        <v>219</v>
      </c>
      <c r="T155" s="215" t="s">
        <v>444</v>
      </c>
      <c r="U155" s="230">
        <v>785.92</v>
      </c>
      <c r="V155" s="230">
        <v>866.61</v>
      </c>
      <c r="W155" s="230">
        <v>124.44</v>
      </c>
      <c r="X155" s="217" t="s">
        <v>207</v>
      </c>
      <c r="Y155" s="186">
        <v>78.58</v>
      </c>
      <c r="Z155" s="217" t="s">
        <v>207</v>
      </c>
      <c r="AA155" s="186">
        <v>116.41</v>
      </c>
      <c r="AB155" s="217" t="s">
        <v>207</v>
      </c>
      <c r="AC155" s="186">
        <v>61.25</v>
      </c>
      <c r="AD155" s="217" t="s">
        <v>207</v>
      </c>
      <c r="AE155" s="186">
        <v>26.04</v>
      </c>
      <c r="AF155" s="217" t="s">
        <v>207</v>
      </c>
      <c r="AG155" s="186">
        <v>11.64</v>
      </c>
      <c r="AH155" s="217" t="s">
        <v>207</v>
      </c>
      <c r="AI155" s="186">
        <v>9.24</v>
      </c>
      <c r="AJ155" s="217" t="s">
        <v>207</v>
      </c>
      <c r="AK155" s="186">
        <v>9.1999999999999993</v>
      </c>
      <c r="AL155" s="217" t="s">
        <v>207</v>
      </c>
      <c r="AM155" s="186">
        <v>12.1</v>
      </c>
      <c r="AN155" s="217" t="s">
        <v>207</v>
      </c>
      <c r="AO155" s="186">
        <v>73.37</v>
      </c>
      <c r="AP155" s="217" t="s">
        <v>207</v>
      </c>
      <c r="AQ155" s="186">
        <v>67.25</v>
      </c>
      <c r="AR155" s="217" t="s">
        <v>207</v>
      </c>
      <c r="AS155" s="186">
        <v>70.790000000000006</v>
      </c>
      <c r="AT155" s="217" t="s">
        <v>207</v>
      </c>
      <c r="AU155" s="186">
        <f>W155+Y155+AA155+AC155+AE155+AG155+AI155+AK155+AM155+AO155+AQ155+AS155</f>
        <v>660.31</v>
      </c>
      <c r="AV155" s="140">
        <v>0.36</v>
      </c>
      <c r="AW155" s="186" t="str">
        <f t="shared" si="12"/>
        <v>150/70</v>
      </c>
      <c r="AX155" s="186" t="str">
        <f t="shared" si="13"/>
        <v>зависимая</v>
      </c>
      <c r="AY155" s="186">
        <f t="shared" si="14"/>
        <v>1</v>
      </c>
      <c r="AZ155" s="186" t="s">
        <v>440</v>
      </c>
    </row>
    <row r="156" spans="1:52" s="221" customFormat="1" ht="15" customHeight="1" x14ac:dyDescent="0.3">
      <c r="A156" s="114">
        <v>145</v>
      </c>
      <c r="B156" s="174" t="s">
        <v>723</v>
      </c>
      <c r="C156" s="186" t="s">
        <v>445</v>
      </c>
      <c r="D156" s="173" t="s">
        <v>288</v>
      </c>
      <c r="E156" s="173" t="s">
        <v>264</v>
      </c>
      <c r="F156" s="173" t="s">
        <v>442</v>
      </c>
      <c r="G156" s="197" t="s">
        <v>145</v>
      </c>
      <c r="H156" s="198" t="s">
        <v>146</v>
      </c>
      <c r="I156" s="198">
        <v>1</v>
      </c>
      <c r="J156" s="200" t="s">
        <v>446</v>
      </c>
      <c r="K156" s="200">
        <v>32</v>
      </c>
      <c r="L156" s="200">
        <v>7.93</v>
      </c>
      <c r="M156" s="200" t="s">
        <v>438</v>
      </c>
      <c r="N156" s="200" t="s">
        <v>218</v>
      </c>
      <c r="O156" s="200" t="s">
        <v>219</v>
      </c>
      <c r="P156" s="200" t="s">
        <v>218</v>
      </c>
      <c r="Q156" s="215" t="s">
        <v>219</v>
      </c>
      <c r="R156" s="200" t="s">
        <v>296</v>
      </c>
      <c r="S156" s="200" t="s">
        <v>219</v>
      </c>
      <c r="T156" s="200" t="s">
        <v>444</v>
      </c>
      <c r="U156" s="198">
        <v>695.44</v>
      </c>
      <c r="V156" s="207">
        <v>679.3</v>
      </c>
      <c r="W156" s="173">
        <v>108.65</v>
      </c>
      <c r="X156" s="173" t="s">
        <v>207</v>
      </c>
      <c r="Y156" s="173">
        <v>75.64</v>
      </c>
      <c r="Z156" s="173" t="s">
        <v>207</v>
      </c>
      <c r="AA156" s="173">
        <v>95.92</v>
      </c>
      <c r="AB156" s="173" t="s">
        <v>207</v>
      </c>
      <c r="AC156" s="173">
        <v>65.290000000000006</v>
      </c>
      <c r="AD156" s="173" t="s">
        <v>207</v>
      </c>
      <c r="AE156" s="173">
        <v>21.46</v>
      </c>
      <c r="AF156" s="173" t="s">
        <v>207</v>
      </c>
      <c r="AG156" s="173">
        <v>13.17</v>
      </c>
      <c r="AH156" s="173" t="s">
        <v>207</v>
      </c>
      <c r="AI156" s="173">
        <v>12.73</v>
      </c>
      <c r="AJ156" s="173" t="s">
        <v>207</v>
      </c>
      <c r="AK156" s="173">
        <v>11.75</v>
      </c>
      <c r="AL156" s="173" t="s">
        <v>207</v>
      </c>
      <c r="AM156" s="173">
        <v>16.03</v>
      </c>
      <c r="AN156" s="173" t="s">
        <v>207</v>
      </c>
      <c r="AO156" s="173">
        <v>64.25</v>
      </c>
      <c r="AP156" s="173" t="s">
        <v>207</v>
      </c>
      <c r="AQ156" s="173">
        <v>65.75</v>
      </c>
      <c r="AR156" s="173" t="s">
        <v>207</v>
      </c>
      <c r="AS156" s="173">
        <v>81.599999999999994</v>
      </c>
      <c r="AT156" s="173" t="s">
        <v>207</v>
      </c>
      <c r="AU156" s="173">
        <f>SUM(W156,Y156,AA156,AC156,AE156,AG156,AI156,AK156,AM156,AO156,AQ156,AS156)</f>
        <v>632.24000000000012</v>
      </c>
      <c r="AV156" s="204">
        <v>0.35</v>
      </c>
      <c r="AW156" s="173" t="str">
        <f t="shared" si="12"/>
        <v>150/70</v>
      </c>
      <c r="AX156" s="173" t="str">
        <f t="shared" si="13"/>
        <v>зависимая</v>
      </c>
      <c r="AY156" s="173">
        <f t="shared" si="14"/>
        <v>1</v>
      </c>
      <c r="AZ156" s="173" t="s">
        <v>440</v>
      </c>
    </row>
    <row r="157" spans="1:52" s="221" customFormat="1" ht="15" customHeight="1" x14ac:dyDescent="0.3">
      <c r="A157" s="114">
        <v>146</v>
      </c>
      <c r="B157" s="174" t="s">
        <v>724</v>
      </c>
      <c r="C157" s="186" t="s">
        <v>445</v>
      </c>
      <c r="D157" s="173" t="s">
        <v>288</v>
      </c>
      <c r="E157" s="173" t="s">
        <v>264</v>
      </c>
      <c r="F157" s="173" t="s">
        <v>442</v>
      </c>
      <c r="G157" s="197" t="s">
        <v>145</v>
      </c>
      <c r="H157" s="198" t="s">
        <v>146</v>
      </c>
      <c r="I157" s="198">
        <v>1</v>
      </c>
      <c r="J157" s="200" t="s">
        <v>446</v>
      </c>
      <c r="K157" s="200">
        <v>32</v>
      </c>
      <c r="L157" s="200">
        <v>7.93</v>
      </c>
      <c r="M157" s="200" t="s">
        <v>438</v>
      </c>
      <c r="N157" s="200" t="s">
        <v>218</v>
      </c>
      <c r="O157" s="200" t="s">
        <v>219</v>
      </c>
      <c r="P157" s="200" t="s">
        <v>218</v>
      </c>
      <c r="Q157" s="215" t="s">
        <v>219</v>
      </c>
      <c r="R157" s="200" t="s">
        <v>296</v>
      </c>
      <c r="S157" s="200" t="s">
        <v>219</v>
      </c>
      <c r="T157" s="200" t="s">
        <v>444</v>
      </c>
      <c r="U157" s="207">
        <v>722.83</v>
      </c>
      <c r="V157" s="207">
        <v>721.36</v>
      </c>
      <c r="W157" s="173">
        <v>108.88</v>
      </c>
      <c r="X157" s="173" t="s">
        <v>207</v>
      </c>
      <c r="Y157" s="173">
        <v>66.650000000000006</v>
      </c>
      <c r="Z157" s="173" t="s">
        <v>207</v>
      </c>
      <c r="AA157" s="173">
        <v>108.64</v>
      </c>
      <c r="AB157" s="173" t="s">
        <v>207</v>
      </c>
      <c r="AC157" s="173">
        <v>60.96</v>
      </c>
      <c r="AD157" s="173" t="s">
        <v>207</v>
      </c>
      <c r="AE157" s="173">
        <v>22.68</v>
      </c>
      <c r="AF157" s="173" t="s">
        <v>207</v>
      </c>
      <c r="AG157" s="173">
        <v>14.03</v>
      </c>
      <c r="AH157" s="173" t="s">
        <v>207</v>
      </c>
      <c r="AI157" s="173">
        <v>12.73</v>
      </c>
      <c r="AJ157" s="173" t="s">
        <v>207</v>
      </c>
      <c r="AK157" s="173">
        <v>13.1</v>
      </c>
      <c r="AL157" s="173" t="s">
        <v>207</v>
      </c>
      <c r="AM157" s="173">
        <v>17.16</v>
      </c>
      <c r="AN157" s="173" t="s">
        <v>207</v>
      </c>
      <c r="AO157" s="173">
        <v>65.739999999999995</v>
      </c>
      <c r="AP157" s="173" t="s">
        <v>207</v>
      </c>
      <c r="AQ157" s="173">
        <v>67.209999999999994</v>
      </c>
      <c r="AR157" s="173" t="s">
        <v>207</v>
      </c>
      <c r="AS157" s="173">
        <v>87.03</v>
      </c>
      <c r="AT157" s="173" t="s">
        <v>207</v>
      </c>
      <c r="AU157" s="173">
        <f>SUM(W157,Y157,AA157,AC157,AE157,AG157,AI157,AK157,AM157,AO157,AQ157,AS157)</f>
        <v>644.81000000000006</v>
      </c>
      <c r="AV157" s="204">
        <v>0.35</v>
      </c>
      <c r="AW157" s="173" t="str">
        <f t="shared" si="12"/>
        <v>150/70</v>
      </c>
      <c r="AX157" s="173" t="str">
        <f t="shared" si="13"/>
        <v>зависимая</v>
      </c>
      <c r="AY157" s="173">
        <f t="shared" si="14"/>
        <v>1</v>
      </c>
      <c r="AZ157" s="173" t="s">
        <v>440</v>
      </c>
    </row>
    <row r="158" spans="1:52" s="208" customFormat="1" ht="15" customHeight="1" x14ac:dyDescent="0.3">
      <c r="A158" s="114">
        <v>147</v>
      </c>
      <c r="B158" s="174" t="s">
        <v>725</v>
      </c>
      <c r="C158" s="186" t="s">
        <v>445</v>
      </c>
      <c r="D158" s="196" t="s">
        <v>288</v>
      </c>
      <c r="E158" s="196" t="s">
        <v>264</v>
      </c>
      <c r="F158" s="196" t="s">
        <v>442</v>
      </c>
      <c r="G158" s="197" t="s">
        <v>145</v>
      </c>
      <c r="H158" s="198" t="s">
        <v>146</v>
      </c>
      <c r="I158" s="199">
        <v>1</v>
      </c>
      <c r="J158" s="200" t="s">
        <v>446</v>
      </c>
      <c r="K158" s="200">
        <v>80</v>
      </c>
      <c r="L158" s="200">
        <v>7.93</v>
      </c>
      <c r="M158" s="200" t="s">
        <v>438</v>
      </c>
      <c r="N158" s="200" t="s">
        <v>218</v>
      </c>
      <c r="O158" s="200" t="s">
        <v>219</v>
      </c>
      <c r="P158" s="200" t="s">
        <v>218</v>
      </c>
      <c r="Q158" s="215" t="s">
        <v>219</v>
      </c>
      <c r="R158" s="200" t="s">
        <v>296</v>
      </c>
      <c r="S158" s="200" t="s">
        <v>219</v>
      </c>
      <c r="T158" s="200" t="s">
        <v>444</v>
      </c>
      <c r="U158" s="207">
        <v>3533.22</v>
      </c>
      <c r="V158" s="207">
        <v>3600.92</v>
      </c>
      <c r="W158" s="196">
        <v>605.29999999999995</v>
      </c>
      <c r="X158" s="173" t="s">
        <v>207</v>
      </c>
      <c r="Y158" s="196">
        <v>391.43</v>
      </c>
      <c r="Z158" s="173" t="s">
        <v>207</v>
      </c>
      <c r="AA158" s="196">
        <v>515.52</v>
      </c>
      <c r="AB158" s="173" t="s">
        <v>207</v>
      </c>
      <c r="AC158" s="196">
        <v>369.39</v>
      </c>
      <c r="AD158" s="173" t="s">
        <v>207</v>
      </c>
      <c r="AE158" s="196">
        <v>86.07</v>
      </c>
      <c r="AF158" s="173" t="s">
        <v>207</v>
      </c>
      <c r="AG158" s="196">
        <v>76.63</v>
      </c>
      <c r="AH158" s="173" t="s">
        <v>207</v>
      </c>
      <c r="AI158" s="196">
        <v>73.36</v>
      </c>
      <c r="AJ158" s="173" t="s">
        <v>207</v>
      </c>
      <c r="AK158" s="196">
        <v>75.680000000000007</v>
      </c>
      <c r="AL158" s="173" t="s">
        <v>207</v>
      </c>
      <c r="AM158" s="196">
        <v>94.73</v>
      </c>
      <c r="AN158" s="173" t="s">
        <v>207</v>
      </c>
      <c r="AO158" s="196">
        <v>305.31</v>
      </c>
      <c r="AP158" s="173" t="s">
        <v>207</v>
      </c>
      <c r="AQ158" s="196">
        <v>358.44</v>
      </c>
      <c r="AR158" s="173" t="s">
        <v>207</v>
      </c>
      <c r="AS158" s="196">
        <v>418.71</v>
      </c>
      <c r="AT158" s="173" t="s">
        <v>207</v>
      </c>
      <c r="AU158" s="173">
        <f>SUM(W158,Y158,AA158,AC158,AE158,AG158,AI158,AK158,AM158,AO158,AQ158,AS158)</f>
        <v>3370.5699999999997</v>
      </c>
      <c r="AV158" s="199">
        <v>2.0499999999999998</v>
      </c>
      <c r="AW158" s="196" t="str">
        <f t="shared" si="12"/>
        <v>150/70</v>
      </c>
      <c r="AX158" s="196" t="str">
        <f t="shared" si="13"/>
        <v>зависимая</v>
      </c>
      <c r="AY158" s="196">
        <f t="shared" si="14"/>
        <v>1</v>
      </c>
      <c r="AZ158" s="196" t="s">
        <v>440</v>
      </c>
    </row>
    <row r="159" spans="1:52" s="221" customFormat="1" ht="15" customHeight="1" x14ac:dyDescent="0.3">
      <c r="A159" s="73">
        <v>148</v>
      </c>
      <c r="B159" s="174" t="s">
        <v>726</v>
      </c>
      <c r="C159" s="186" t="s">
        <v>445</v>
      </c>
      <c r="D159" s="196" t="s">
        <v>288</v>
      </c>
      <c r="E159" s="196" t="s">
        <v>264</v>
      </c>
      <c r="F159" s="196" t="s">
        <v>442</v>
      </c>
      <c r="G159" s="197" t="s">
        <v>145</v>
      </c>
      <c r="H159" s="198" t="s">
        <v>146</v>
      </c>
      <c r="I159" s="199">
        <v>1</v>
      </c>
      <c r="J159" s="200" t="s">
        <v>446</v>
      </c>
      <c r="K159" s="200">
        <v>50</v>
      </c>
      <c r="L159" s="200">
        <v>8.26</v>
      </c>
      <c r="M159" s="200" t="s">
        <v>438</v>
      </c>
      <c r="N159" s="200" t="s">
        <v>218</v>
      </c>
      <c r="O159" s="200" t="s">
        <v>219</v>
      </c>
      <c r="P159" s="200" t="s">
        <v>218</v>
      </c>
      <c r="Q159" s="215" t="s">
        <v>219</v>
      </c>
      <c r="R159" s="200" t="s">
        <v>296</v>
      </c>
      <c r="S159" s="200" t="s">
        <v>219</v>
      </c>
      <c r="T159" s="200" t="s">
        <v>444</v>
      </c>
      <c r="U159" s="207">
        <v>1096.45</v>
      </c>
      <c r="V159" s="207">
        <v>1026.22</v>
      </c>
      <c r="W159" s="196">
        <v>161.26</v>
      </c>
      <c r="X159" s="173" t="s">
        <v>207</v>
      </c>
      <c r="Y159" s="196">
        <v>110.17</v>
      </c>
      <c r="Z159" s="173" t="s">
        <v>207</v>
      </c>
      <c r="AA159" s="196">
        <v>152.62</v>
      </c>
      <c r="AB159" s="173" t="s">
        <v>207</v>
      </c>
      <c r="AC159" s="196">
        <v>90.11</v>
      </c>
      <c r="AD159" s="173" t="s">
        <v>207</v>
      </c>
      <c r="AE159" s="196">
        <v>42.56</v>
      </c>
      <c r="AF159" s="173" t="s">
        <v>207</v>
      </c>
      <c r="AG159" s="196">
        <v>27.45</v>
      </c>
      <c r="AH159" s="173" t="s">
        <v>207</v>
      </c>
      <c r="AI159" s="196">
        <v>22.99</v>
      </c>
      <c r="AJ159" s="173" t="s">
        <v>207</v>
      </c>
      <c r="AK159" s="196">
        <v>22.09</v>
      </c>
      <c r="AL159" s="173" t="s">
        <v>207</v>
      </c>
      <c r="AM159" s="196">
        <v>34.020000000000003</v>
      </c>
      <c r="AN159" s="173" t="s">
        <v>207</v>
      </c>
      <c r="AO159" s="196">
        <v>81.180000000000007</v>
      </c>
      <c r="AP159" s="173" t="s">
        <v>207</v>
      </c>
      <c r="AQ159" s="196">
        <v>105.65</v>
      </c>
      <c r="AR159" s="173" t="s">
        <v>207</v>
      </c>
      <c r="AS159" s="196">
        <v>124.88</v>
      </c>
      <c r="AT159" s="173" t="s">
        <v>207</v>
      </c>
      <c r="AU159" s="173">
        <f>SUM(W159,Y159,AA159,AC159,AE159,AG159,AI159,AK159,AM159,AO159,AQ159,AS159)</f>
        <v>974.98</v>
      </c>
      <c r="AV159" s="199">
        <v>0.55000000000000004</v>
      </c>
      <c r="AW159" s="196" t="str">
        <f t="shared" si="12"/>
        <v>150/70</v>
      </c>
      <c r="AX159" s="196" t="str">
        <f t="shared" si="13"/>
        <v>зависимая</v>
      </c>
      <c r="AY159" s="196">
        <f t="shared" si="14"/>
        <v>1</v>
      </c>
      <c r="AZ159" s="196" t="s">
        <v>440</v>
      </c>
    </row>
    <row r="160" spans="1:52" s="208" customFormat="1" ht="15" customHeight="1" x14ac:dyDescent="0.3">
      <c r="A160" s="114">
        <v>149</v>
      </c>
      <c r="B160" s="174" t="s">
        <v>727</v>
      </c>
      <c r="C160" s="186" t="s">
        <v>445</v>
      </c>
      <c r="D160" s="213" t="s">
        <v>288</v>
      </c>
      <c r="E160" s="213" t="s">
        <v>264</v>
      </c>
      <c r="F160" s="186" t="s">
        <v>442</v>
      </c>
      <c r="G160" s="197" t="s">
        <v>145</v>
      </c>
      <c r="H160" s="210" t="s">
        <v>146</v>
      </c>
      <c r="I160" s="214">
        <v>2</v>
      </c>
      <c r="J160" s="215" t="s">
        <v>446</v>
      </c>
      <c r="K160" s="210">
        <v>40</v>
      </c>
      <c r="L160" s="215">
        <v>7.93</v>
      </c>
      <c r="M160" s="215" t="s">
        <v>438</v>
      </c>
      <c r="N160" s="215" t="s">
        <v>218</v>
      </c>
      <c r="O160" s="215" t="s">
        <v>219</v>
      </c>
      <c r="P160" s="215" t="s">
        <v>218</v>
      </c>
      <c r="Q160" s="216" t="s">
        <v>219</v>
      </c>
      <c r="R160" s="215" t="s">
        <v>296</v>
      </c>
      <c r="S160" s="215" t="s">
        <v>219</v>
      </c>
      <c r="T160" s="215" t="s">
        <v>444</v>
      </c>
      <c r="U160" s="230">
        <v>1974.49</v>
      </c>
      <c r="V160" s="230">
        <v>2009.49</v>
      </c>
      <c r="W160" s="213">
        <v>309.39</v>
      </c>
      <c r="X160" s="217" t="s">
        <v>207</v>
      </c>
      <c r="Y160" s="213">
        <v>204.41</v>
      </c>
      <c r="Z160" s="217" t="s">
        <v>207</v>
      </c>
      <c r="AA160" s="213">
        <v>342.86</v>
      </c>
      <c r="AB160" s="217" t="s">
        <v>207</v>
      </c>
      <c r="AC160" s="213">
        <v>179.05</v>
      </c>
      <c r="AD160" s="217" t="s">
        <v>207</v>
      </c>
      <c r="AE160" s="213">
        <v>65.599999999999994</v>
      </c>
      <c r="AF160" s="217" t="s">
        <v>207</v>
      </c>
      <c r="AG160" s="213">
        <v>52.07</v>
      </c>
      <c r="AH160" s="217" t="s">
        <v>207</v>
      </c>
      <c r="AI160" s="213">
        <v>48.26</v>
      </c>
      <c r="AJ160" s="217" t="s">
        <v>207</v>
      </c>
      <c r="AK160" s="213">
        <v>46.99</v>
      </c>
      <c r="AL160" s="217" t="s">
        <v>207</v>
      </c>
      <c r="AM160" s="213">
        <v>59.42</v>
      </c>
      <c r="AN160" s="217" t="s">
        <v>207</v>
      </c>
      <c r="AO160" s="213">
        <v>199.53</v>
      </c>
      <c r="AP160" s="217" t="s">
        <v>207</v>
      </c>
      <c r="AQ160" s="213">
        <v>212.72</v>
      </c>
      <c r="AR160" s="217" t="s">
        <v>207</v>
      </c>
      <c r="AS160" s="213">
        <v>243.1</v>
      </c>
      <c r="AT160" s="217" t="s">
        <v>207</v>
      </c>
      <c r="AU160" s="213">
        <f>W160+Y160+AA160+AC160+AE160+AG160+AI160+AK160+AM160+AO160+AQ160+AS160</f>
        <v>1963.3999999999999</v>
      </c>
      <c r="AV160" s="214">
        <v>1.04</v>
      </c>
      <c r="AW160" s="186" t="str">
        <f t="shared" si="12"/>
        <v>150/70</v>
      </c>
      <c r="AX160" s="186" t="str">
        <f t="shared" si="13"/>
        <v>зависимая</v>
      </c>
      <c r="AY160" s="186">
        <f t="shared" si="14"/>
        <v>2</v>
      </c>
      <c r="AZ160" s="186" t="s">
        <v>440</v>
      </c>
    </row>
    <row r="161" spans="1:52" s="208" customFormat="1" ht="15" customHeight="1" x14ac:dyDescent="0.3">
      <c r="A161" s="114">
        <v>150</v>
      </c>
      <c r="B161" s="174" t="s">
        <v>728</v>
      </c>
      <c r="C161" s="186" t="s">
        <v>445</v>
      </c>
      <c r="D161" s="196" t="s">
        <v>288</v>
      </c>
      <c r="E161" s="196" t="s">
        <v>264</v>
      </c>
      <c r="F161" s="196" t="s">
        <v>496</v>
      </c>
      <c r="G161" s="197" t="s">
        <v>145</v>
      </c>
      <c r="H161" s="198" t="s">
        <v>146</v>
      </c>
      <c r="I161" s="199">
        <v>1</v>
      </c>
      <c r="J161" s="200" t="s">
        <v>446</v>
      </c>
      <c r="K161" s="200">
        <v>40</v>
      </c>
      <c r="L161" s="200">
        <v>7.93</v>
      </c>
      <c r="M161" s="200" t="s">
        <v>438</v>
      </c>
      <c r="N161" s="200" t="s">
        <v>218</v>
      </c>
      <c r="O161" s="200" t="s">
        <v>219</v>
      </c>
      <c r="P161" s="200" t="s">
        <v>218</v>
      </c>
      <c r="Q161" s="215" t="s">
        <v>219</v>
      </c>
      <c r="R161" s="200" t="s">
        <v>296</v>
      </c>
      <c r="S161" s="200" t="s">
        <v>219</v>
      </c>
      <c r="T161" s="200" t="s">
        <v>444</v>
      </c>
      <c r="U161" s="207">
        <v>1293.43</v>
      </c>
      <c r="V161" s="207">
        <v>1747.25</v>
      </c>
      <c r="W161" s="196">
        <f>198.96+51.11</f>
        <v>250.07</v>
      </c>
      <c r="X161" s="173" t="s">
        <v>207</v>
      </c>
      <c r="Y161" s="196">
        <f>139.17+45.39</f>
        <v>184.56</v>
      </c>
      <c r="Z161" s="173" t="s">
        <v>207</v>
      </c>
      <c r="AA161" s="196">
        <f>182.48</f>
        <v>182.48</v>
      </c>
      <c r="AB161" s="173" t="s">
        <v>207</v>
      </c>
      <c r="AC161" s="196">
        <v>119.56</v>
      </c>
      <c r="AD161" s="173" t="s">
        <v>207</v>
      </c>
      <c r="AE161" s="196">
        <f>31.3+23.28</f>
        <v>54.58</v>
      </c>
      <c r="AF161" s="173" t="s">
        <v>207</v>
      </c>
      <c r="AG161" s="196">
        <v>31.59</v>
      </c>
      <c r="AH161" s="173" t="s">
        <v>207</v>
      </c>
      <c r="AI161" s="196">
        <v>26.2</v>
      </c>
      <c r="AJ161" s="173" t="s">
        <v>207</v>
      </c>
      <c r="AK161" s="196">
        <v>27.24</v>
      </c>
      <c r="AL161" s="173" t="s">
        <v>207</v>
      </c>
      <c r="AM161" s="196">
        <v>34.869999999999997</v>
      </c>
      <c r="AN161" s="173" t="s">
        <v>207</v>
      </c>
      <c r="AO161" s="196">
        <f>126.43-6.85</f>
        <v>119.58000000000001</v>
      </c>
      <c r="AP161" s="173" t="s">
        <v>207</v>
      </c>
      <c r="AQ161" s="196">
        <v>117.49009678440098</v>
      </c>
      <c r="AR161" s="173" t="s">
        <v>456</v>
      </c>
      <c r="AS161" s="196">
        <v>154.38</v>
      </c>
      <c r="AT161" s="173" t="s">
        <v>207</v>
      </c>
      <c r="AU161" s="204">
        <f>SUM(W161,Y161,AA161,AC161,AE161,AG161,AI161,AK161,AM161,AO161,AQ161,AS161)</f>
        <v>1302.6000967844011</v>
      </c>
      <c r="AV161" s="199">
        <v>0.61</v>
      </c>
      <c r="AW161" s="196" t="str">
        <f t="shared" si="12"/>
        <v>150/70</v>
      </c>
      <c r="AX161" s="196" t="str">
        <f t="shared" si="13"/>
        <v>зависимая</v>
      </c>
      <c r="AY161" s="196">
        <f t="shared" si="14"/>
        <v>1</v>
      </c>
      <c r="AZ161" s="196" t="s">
        <v>440</v>
      </c>
    </row>
    <row r="162" spans="1:52" s="208" customFormat="1" ht="15" customHeight="1" x14ac:dyDescent="0.3">
      <c r="A162" s="114">
        <v>151</v>
      </c>
      <c r="B162" s="174" t="s">
        <v>729</v>
      </c>
      <c r="C162" s="186" t="s">
        <v>445</v>
      </c>
      <c r="D162" s="213" t="s">
        <v>288</v>
      </c>
      <c r="E162" s="213" t="s">
        <v>264</v>
      </c>
      <c r="F162" s="186" t="s">
        <v>497</v>
      </c>
      <c r="G162" s="197" t="s">
        <v>145</v>
      </c>
      <c r="H162" s="210" t="s">
        <v>146</v>
      </c>
      <c r="I162" s="214">
        <v>2</v>
      </c>
      <c r="J162" s="215" t="s">
        <v>446</v>
      </c>
      <c r="K162" s="210">
        <v>40</v>
      </c>
      <c r="L162" s="215">
        <v>7.93</v>
      </c>
      <c r="M162" s="215" t="s">
        <v>438</v>
      </c>
      <c r="N162" s="215" t="s">
        <v>218</v>
      </c>
      <c r="O162" s="215" t="s">
        <v>219</v>
      </c>
      <c r="P162" s="215" t="s">
        <v>218</v>
      </c>
      <c r="Q162" s="216" t="s">
        <v>219</v>
      </c>
      <c r="R162" s="215" t="s">
        <v>296</v>
      </c>
      <c r="S162" s="215" t="s">
        <v>219</v>
      </c>
      <c r="T162" s="215" t="s">
        <v>444</v>
      </c>
      <c r="U162" s="220">
        <v>3901.25</v>
      </c>
      <c r="V162" s="220">
        <v>3819.23</v>
      </c>
      <c r="W162" s="213">
        <f>290.96+289.74</f>
        <v>580.70000000000005</v>
      </c>
      <c r="X162" s="217" t="s">
        <v>207</v>
      </c>
      <c r="Y162" s="213">
        <f>240.64+208.71</f>
        <v>449.35</v>
      </c>
      <c r="Z162" s="217" t="s">
        <v>207</v>
      </c>
      <c r="AA162" s="213">
        <f>267.17+270.63</f>
        <v>537.79999999999995</v>
      </c>
      <c r="AB162" s="217" t="s">
        <v>207</v>
      </c>
      <c r="AC162" s="213">
        <f>167.23+176.07</f>
        <v>343.29999999999995</v>
      </c>
      <c r="AD162" s="217" t="s">
        <v>207</v>
      </c>
      <c r="AE162" s="213">
        <f>34.74+35.19+42.99+19.8</f>
        <v>132.72000000000003</v>
      </c>
      <c r="AF162" s="217" t="s">
        <v>207</v>
      </c>
      <c r="AG162" s="213">
        <f>35.31+43.25</f>
        <v>78.56</v>
      </c>
      <c r="AH162" s="217" t="s">
        <v>207</v>
      </c>
      <c r="AI162" s="213">
        <f>34.05+39.5</f>
        <v>73.55</v>
      </c>
      <c r="AJ162" s="217" t="s">
        <v>207</v>
      </c>
      <c r="AK162" s="213">
        <f>32.96+26.99</f>
        <v>59.95</v>
      </c>
      <c r="AL162" s="217" t="s">
        <v>207</v>
      </c>
      <c r="AM162" s="213">
        <f>50.21+38.78</f>
        <v>88.990000000000009</v>
      </c>
      <c r="AN162" s="217" t="s">
        <v>207</v>
      </c>
      <c r="AO162" s="213">
        <v>400.65</v>
      </c>
      <c r="AP162" s="217" t="s">
        <v>207</v>
      </c>
      <c r="AQ162" s="213">
        <v>321.16000000000003</v>
      </c>
      <c r="AR162" s="217" t="s">
        <v>456</v>
      </c>
      <c r="AS162" s="213">
        <v>473.29</v>
      </c>
      <c r="AT162" s="217" t="s">
        <v>207</v>
      </c>
      <c r="AU162" s="213">
        <f>W162+Y162+AA162+AC162+AE162+AG162+AI162+AK162+AM162+AO162+AQ162+AS162</f>
        <v>3540.02</v>
      </c>
      <c r="AV162" s="214">
        <v>2.1</v>
      </c>
      <c r="AW162" s="186" t="str">
        <f t="shared" si="12"/>
        <v>150/70</v>
      </c>
      <c r="AX162" s="186" t="str">
        <f t="shared" si="13"/>
        <v>зависимая</v>
      </c>
      <c r="AY162" s="186">
        <f t="shared" si="14"/>
        <v>2</v>
      </c>
      <c r="AZ162" s="186" t="s">
        <v>440</v>
      </c>
    </row>
    <row r="163" spans="1:52" s="208" customFormat="1" ht="15" customHeight="1" x14ac:dyDescent="0.3">
      <c r="A163" s="73">
        <v>152</v>
      </c>
      <c r="B163" s="174" t="s">
        <v>730</v>
      </c>
      <c r="C163" s="173" t="s">
        <v>435</v>
      </c>
      <c r="D163" s="196" t="s">
        <v>288</v>
      </c>
      <c r="E163" s="196" t="s">
        <v>205</v>
      </c>
      <c r="F163" s="173" t="s">
        <v>447</v>
      </c>
      <c r="G163" s="197" t="s">
        <v>145</v>
      </c>
      <c r="H163" s="198" t="s">
        <v>146</v>
      </c>
      <c r="I163" s="199">
        <v>1</v>
      </c>
      <c r="J163" s="200" t="s">
        <v>437</v>
      </c>
      <c r="K163" s="201">
        <v>40</v>
      </c>
      <c r="L163" s="202"/>
      <c r="M163" s="200" t="s">
        <v>438</v>
      </c>
      <c r="N163" s="200" t="s">
        <v>218</v>
      </c>
      <c r="O163" s="200" t="s">
        <v>219</v>
      </c>
      <c r="P163" s="200" t="s">
        <v>218</v>
      </c>
      <c r="Q163" s="200" t="s">
        <v>219</v>
      </c>
      <c r="R163" s="200" t="s">
        <v>208</v>
      </c>
      <c r="S163" s="200" t="s">
        <v>219</v>
      </c>
      <c r="T163" s="173" t="s">
        <v>458</v>
      </c>
      <c r="U163" s="199">
        <v>263.57</v>
      </c>
      <c r="V163" s="199">
        <f>449.29+730.97</f>
        <v>1180.26</v>
      </c>
      <c r="W163" s="196">
        <v>182.2</v>
      </c>
      <c r="X163" s="196" t="s">
        <v>207</v>
      </c>
      <c r="Y163" s="196">
        <v>143.34</v>
      </c>
      <c r="Z163" s="196" t="s">
        <v>207</v>
      </c>
      <c r="AA163" s="196">
        <v>183.99</v>
      </c>
      <c r="AB163" s="196" t="s">
        <v>207</v>
      </c>
      <c r="AC163" s="196">
        <v>127.16</v>
      </c>
      <c r="AD163" s="196" t="s">
        <v>207</v>
      </c>
      <c r="AE163" s="196">
        <v>52.5</v>
      </c>
      <c r="AF163" s="196" t="s">
        <v>207</v>
      </c>
      <c r="AG163" s="196">
        <v>27.45</v>
      </c>
      <c r="AH163" s="196" t="s">
        <v>207</v>
      </c>
      <c r="AI163" s="196">
        <v>24.26</v>
      </c>
      <c r="AJ163" s="196" t="s">
        <v>207</v>
      </c>
      <c r="AK163" s="196">
        <v>22.11</v>
      </c>
      <c r="AL163" s="196" t="s">
        <v>207</v>
      </c>
      <c r="AM163" s="196">
        <v>31.58</v>
      </c>
      <c r="AN163" s="196" t="s">
        <v>207</v>
      </c>
      <c r="AO163" s="196">
        <v>131.16999999999999</v>
      </c>
      <c r="AP163" s="196" t="s">
        <v>207</v>
      </c>
      <c r="AQ163" s="196">
        <v>115.8</v>
      </c>
      <c r="AR163" s="196" t="s">
        <v>207</v>
      </c>
      <c r="AS163" s="196">
        <v>142.6</v>
      </c>
      <c r="AT163" s="196" t="s">
        <v>207</v>
      </c>
      <c r="AU163" s="196">
        <f t="shared" ref="AU163:AU172" si="15">SUM(W163,Y163,AA163,AC163,AE163,AG163,AI163,AK163,AM163,AO163,AQ163,AS163)</f>
        <v>1184.1599999999999</v>
      </c>
      <c r="AV163" s="199">
        <v>0.54</v>
      </c>
      <c r="AW163" s="196" t="s">
        <v>438</v>
      </c>
      <c r="AX163" s="173" t="s">
        <v>296</v>
      </c>
      <c r="AY163" s="196">
        <v>1</v>
      </c>
      <c r="AZ163" s="196" t="s">
        <v>440</v>
      </c>
    </row>
    <row r="164" spans="1:52" s="208" customFormat="1" ht="15" customHeight="1" x14ac:dyDescent="0.3">
      <c r="A164" s="114">
        <v>153</v>
      </c>
      <c r="B164" s="174" t="s">
        <v>731</v>
      </c>
      <c r="C164" s="173" t="s">
        <v>435</v>
      </c>
      <c r="D164" s="196" t="s">
        <v>288</v>
      </c>
      <c r="E164" s="196" t="s">
        <v>205</v>
      </c>
      <c r="F164" s="173" t="s">
        <v>447</v>
      </c>
      <c r="G164" s="197" t="s">
        <v>145</v>
      </c>
      <c r="H164" s="198" t="s">
        <v>146</v>
      </c>
      <c r="I164" s="199">
        <v>1</v>
      </c>
      <c r="J164" s="200" t="s">
        <v>437</v>
      </c>
      <c r="K164" s="201">
        <v>40</v>
      </c>
      <c r="L164" s="202"/>
      <c r="M164" s="200" t="s">
        <v>438</v>
      </c>
      <c r="N164" s="200" t="s">
        <v>218</v>
      </c>
      <c r="O164" s="200" t="s">
        <v>219</v>
      </c>
      <c r="P164" s="200" t="s">
        <v>218</v>
      </c>
      <c r="Q164" s="200" t="s">
        <v>219</v>
      </c>
      <c r="R164" s="200" t="s">
        <v>208</v>
      </c>
      <c r="S164" s="200" t="s">
        <v>219</v>
      </c>
      <c r="T164" s="173" t="s">
        <v>458</v>
      </c>
      <c r="U164" s="199">
        <v>274.3</v>
      </c>
      <c r="V164" s="199">
        <f>502.38+717.3</f>
        <v>1219.6799999999998</v>
      </c>
      <c r="W164" s="196">
        <v>183.95</v>
      </c>
      <c r="X164" s="196" t="s">
        <v>207</v>
      </c>
      <c r="Y164" s="196">
        <v>142.68</v>
      </c>
      <c r="Z164" s="196" t="s">
        <v>207</v>
      </c>
      <c r="AA164" s="196">
        <v>183.02</v>
      </c>
      <c r="AB164" s="196" t="s">
        <v>207</v>
      </c>
      <c r="AC164" s="196">
        <v>108.56</v>
      </c>
      <c r="AD164" s="196" t="s">
        <v>207</v>
      </c>
      <c r="AE164" s="196">
        <v>57.74</v>
      </c>
      <c r="AF164" s="196" t="s">
        <v>207</v>
      </c>
      <c r="AG164" s="196">
        <v>27.29</v>
      </c>
      <c r="AH164" s="196" t="s">
        <v>207</v>
      </c>
      <c r="AI164" s="196">
        <v>26.04</v>
      </c>
      <c r="AJ164" s="196" t="s">
        <v>207</v>
      </c>
      <c r="AK164" s="196">
        <v>25.34</v>
      </c>
      <c r="AL164" s="196" t="s">
        <v>207</v>
      </c>
      <c r="AM164" s="196">
        <v>34.14</v>
      </c>
      <c r="AN164" s="196" t="s">
        <v>207</v>
      </c>
      <c r="AO164" s="196">
        <v>126.18</v>
      </c>
      <c r="AP164" s="196" t="s">
        <v>207</v>
      </c>
      <c r="AQ164" s="196">
        <v>120.3</v>
      </c>
      <c r="AR164" s="196" t="s">
        <v>207</v>
      </c>
      <c r="AS164" s="196">
        <v>148.6</v>
      </c>
      <c r="AT164" s="196" t="s">
        <v>207</v>
      </c>
      <c r="AU164" s="196">
        <f t="shared" si="15"/>
        <v>1183.8399999999999</v>
      </c>
      <c r="AV164" s="199">
        <v>0.53</v>
      </c>
      <c r="AW164" s="196" t="s">
        <v>438</v>
      </c>
      <c r="AX164" s="173" t="s">
        <v>296</v>
      </c>
      <c r="AY164" s="196">
        <v>1</v>
      </c>
      <c r="AZ164" s="196" t="s">
        <v>440</v>
      </c>
    </row>
    <row r="165" spans="1:52" s="208" customFormat="1" ht="15" customHeight="1" x14ac:dyDescent="0.3">
      <c r="A165" s="114">
        <v>154</v>
      </c>
      <c r="B165" s="174" t="s">
        <v>732</v>
      </c>
      <c r="C165" s="173" t="s">
        <v>435</v>
      </c>
      <c r="D165" s="196" t="s">
        <v>288</v>
      </c>
      <c r="E165" s="196" t="s">
        <v>205</v>
      </c>
      <c r="F165" s="173" t="s">
        <v>447</v>
      </c>
      <c r="G165" s="197" t="s">
        <v>145</v>
      </c>
      <c r="H165" s="198" t="s">
        <v>146</v>
      </c>
      <c r="I165" s="199">
        <v>1</v>
      </c>
      <c r="J165" s="200" t="s">
        <v>437</v>
      </c>
      <c r="K165" s="201">
        <v>40</v>
      </c>
      <c r="L165" s="202"/>
      <c r="M165" s="200" t="s">
        <v>438</v>
      </c>
      <c r="N165" s="200" t="s">
        <v>218</v>
      </c>
      <c r="O165" s="200" t="s">
        <v>219</v>
      </c>
      <c r="P165" s="200" t="s">
        <v>218</v>
      </c>
      <c r="Q165" s="200" t="s">
        <v>219</v>
      </c>
      <c r="R165" s="200" t="s">
        <v>208</v>
      </c>
      <c r="S165" s="200" t="s">
        <v>219</v>
      </c>
      <c r="T165" s="173" t="s">
        <v>458</v>
      </c>
      <c r="U165" s="199">
        <v>249.76</v>
      </c>
      <c r="V165" s="199">
        <f>441.36+670.15</f>
        <v>1111.51</v>
      </c>
      <c r="W165" s="196">
        <v>170.46</v>
      </c>
      <c r="X165" s="196" t="s">
        <v>207</v>
      </c>
      <c r="Y165" s="196">
        <v>131.81</v>
      </c>
      <c r="Z165" s="196" t="s">
        <v>207</v>
      </c>
      <c r="AA165" s="196">
        <v>173.61</v>
      </c>
      <c r="AB165" s="196" t="s">
        <v>207</v>
      </c>
      <c r="AC165" s="196">
        <v>125.62</v>
      </c>
      <c r="AD165" s="196" t="s">
        <v>207</v>
      </c>
      <c r="AE165" s="196">
        <v>31.22</v>
      </c>
      <c r="AF165" s="196" t="s">
        <v>207</v>
      </c>
      <c r="AG165" s="196">
        <v>24.29</v>
      </c>
      <c r="AH165" s="196" t="s">
        <v>207</v>
      </c>
      <c r="AI165" s="196">
        <v>21.06</v>
      </c>
      <c r="AJ165" s="196" t="s">
        <v>207</v>
      </c>
      <c r="AK165" s="196">
        <v>20.83</v>
      </c>
      <c r="AL165" s="196" t="s">
        <v>207</v>
      </c>
      <c r="AM165" s="196">
        <v>26.15</v>
      </c>
      <c r="AN165" s="196" t="s">
        <v>207</v>
      </c>
      <c r="AO165" s="196">
        <v>115.07</v>
      </c>
      <c r="AP165" s="196" t="s">
        <v>207</v>
      </c>
      <c r="AQ165" s="196">
        <v>110.06</v>
      </c>
      <c r="AR165" s="196" t="s">
        <v>207</v>
      </c>
      <c r="AS165" s="196">
        <v>134.80000000000001</v>
      </c>
      <c r="AT165" s="196"/>
      <c r="AU165" s="196">
        <f t="shared" si="15"/>
        <v>1084.9799999999998</v>
      </c>
      <c r="AV165" s="199">
        <v>0.55000000000000004</v>
      </c>
      <c r="AW165" s="196" t="s">
        <v>438</v>
      </c>
      <c r="AX165" s="173" t="s">
        <v>296</v>
      </c>
      <c r="AY165" s="196">
        <v>1</v>
      </c>
      <c r="AZ165" s="196" t="s">
        <v>440</v>
      </c>
    </row>
    <row r="166" spans="1:52" s="208" customFormat="1" ht="15" customHeight="1" x14ac:dyDescent="0.3">
      <c r="A166" s="114">
        <v>155</v>
      </c>
      <c r="B166" s="174" t="s">
        <v>733</v>
      </c>
      <c r="C166" s="173" t="s">
        <v>435</v>
      </c>
      <c r="D166" s="196" t="s">
        <v>288</v>
      </c>
      <c r="E166" s="196" t="s">
        <v>205</v>
      </c>
      <c r="F166" s="173" t="s">
        <v>447</v>
      </c>
      <c r="G166" s="197" t="s">
        <v>145</v>
      </c>
      <c r="H166" s="198" t="s">
        <v>146</v>
      </c>
      <c r="I166" s="199">
        <v>1</v>
      </c>
      <c r="J166" s="200" t="s">
        <v>437</v>
      </c>
      <c r="K166" s="201">
        <v>40</v>
      </c>
      <c r="L166" s="202"/>
      <c r="M166" s="200" t="s">
        <v>438</v>
      </c>
      <c r="N166" s="200" t="s">
        <v>218</v>
      </c>
      <c r="O166" s="200" t="s">
        <v>219</v>
      </c>
      <c r="P166" s="200" t="s">
        <v>218</v>
      </c>
      <c r="Q166" s="200" t="s">
        <v>219</v>
      </c>
      <c r="R166" s="200" t="s">
        <v>208</v>
      </c>
      <c r="S166" s="200" t="s">
        <v>219</v>
      </c>
      <c r="T166" s="173" t="s">
        <v>458</v>
      </c>
      <c r="U166" s="199">
        <v>254.2</v>
      </c>
      <c r="V166" s="199">
        <f>445.67+695.589</f>
        <v>1141.259</v>
      </c>
      <c r="W166" s="196">
        <v>178.82</v>
      </c>
      <c r="X166" s="196" t="s">
        <v>207</v>
      </c>
      <c r="Y166" s="196">
        <v>141.36000000000001</v>
      </c>
      <c r="Z166" s="196" t="s">
        <v>207</v>
      </c>
      <c r="AA166" s="196">
        <v>163.04</v>
      </c>
      <c r="AB166" s="196" t="s">
        <v>207</v>
      </c>
      <c r="AC166" s="196">
        <v>133.03</v>
      </c>
      <c r="AD166" s="196" t="s">
        <v>207</v>
      </c>
      <c r="AE166" s="196">
        <v>36.200000000000003</v>
      </c>
      <c r="AF166" s="196" t="s">
        <v>207</v>
      </c>
      <c r="AG166" s="196">
        <v>29.5</v>
      </c>
      <c r="AH166" s="196" t="s">
        <v>207</v>
      </c>
      <c r="AI166" s="196">
        <v>25.6</v>
      </c>
      <c r="AJ166" s="196" t="s">
        <v>207</v>
      </c>
      <c r="AK166" s="196">
        <v>24.79</v>
      </c>
      <c r="AL166" s="196" t="s">
        <v>207</v>
      </c>
      <c r="AM166" s="196">
        <v>32.43</v>
      </c>
      <c r="AN166" s="196" t="s">
        <v>207</v>
      </c>
      <c r="AO166" s="196">
        <v>109.22</v>
      </c>
      <c r="AP166" s="196" t="s">
        <v>207</v>
      </c>
      <c r="AQ166" s="196">
        <v>110.5</v>
      </c>
      <c r="AR166" s="196" t="s">
        <v>207</v>
      </c>
      <c r="AS166" s="196">
        <v>138.69999999999999</v>
      </c>
      <c r="AT166" s="196" t="s">
        <v>207</v>
      </c>
      <c r="AU166" s="196">
        <f t="shared" si="15"/>
        <v>1123.19</v>
      </c>
      <c r="AV166" s="199">
        <v>0.6</v>
      </c>
      <c r="AW166" s="196" t="s">
        <v>438</v>
      </c>
      <c r="AX166" s="173" t="s">
        <v>296</v>
      </c>
      <c r="AY166" s="196">
        <v>1</v>
      </c>
      <c r="AZ166" s="196" t="s">
        <v>440</v>
      </c>
    </row>
    <row r="167" spans="1:52" s="208" customFormat="1" ht="15" customHeight="1" x14ac:dyDescent="0.3">
      <c r="A167" s="73">
        <v>156</v>
      </c>
      <c r="B167" s="174" t="s">
        <v>734</v>
      </c>
      <c r="C167" s="186" t="s">
        <v>445</v>
      </c>
      <c r="D167" s="196" t="s">
        <v>288</v>
      </c>
      <c r="E167" s="196" t="s">
        <v>264</v>
      </c>
      <c r="F167" s="196" t="s">
        <v>442</v>
      </c>
      <c r="G167" s="197" t="s">
        <v>145</v>
      </c>
      <c r="H167" s="198" t="s">
        <v>146</v>
      </c>
      <c r="I167" s="199">
        <v>1</v>
      </c>
      <c r="J167" s="200" t="s">
        <v>446</v>
      </c>
      <c r="K167" s="200">
        <v>65</v>
      </c>
      <c r="L167" s="200">
        <v>7.93</v>
      </c>
      <c r="M167" s="200" t="s">
        <v>438</v>
      </c>
      <c r="N167" s="200" t="s">
        <v>218</v>
      </c>
      <c r="O167" s="200" t="s">
        <v>219</v>
      </c>
      <c r="P167" s="200" t="s">
        <v>218</v>
      </c>
      <c r="Q167" s="215" t="s">
        <v>219</v>
      </c>
      <c r="R167" s="200" t="s">
        <v>296</v>
      </c>
      <c r="S167" s="200" t="s">
        <v>219</v>
      </c>
      <c r="T167" s="200" t="s">
        <v>444</v>
      </c>
      <c r="U167" s="207">
        <v>3431.98</v>
      </c>
      <c r="V167" s="207">
        <v>3204.68</v>
      </c>
      <c r="W167" s="196">
        <v>494.52</v>
      </c>
      <c r="X167" s="173" t="s">
        <v>207</v>
      </c>
      <c r="Y167" s="196">
        <v>387.13</v>
      </c>
      <c r="Z167" s="173" t="s">
        <v>207</v>
      </c>
      <c r="AA167" s="196">
        <v>522.76</v>
      </c>
      <c r="AB167" s="173" t="s">
        <v>207</v>
      </c>
      <c r="AC167" s="196">
        <v>326.38</v>
      </c>
      <c r="AD167" s="173" t="s">
        <v>207</v>
      </c>
      <c r="AE167" s="196">
        <v>131.65</v>
      </c>
      <c r="AF167" s="173" t="s">
        <v>207</v>
      </c>
      <c r="AG167" s="196">
        <v>71.739999999999995</v>
      </c>
      <c r="AH167" s="173" t="s">
        <v>207</v>
      </c>
      <c r="AI167" s="196">
        <v>61.73</v>
      </c>
      <c r="AJ167" s="173" t="s">
        <v>207</v>
      </c>
      <c r="AK167" s="196">
        <v>62.84</v>
      </c>
      <c r="AL167" s="173" t="s">
        <v>207</v>
      </c>
      <c r="AM167" s="196">
        <v>83.88</v>
      </c>
      <c r="AN167" s="173" t="s">
        <v>207</v>
      </c>
      <c r="AO167" s="196">
        <v>318.89</v>
      </c>
      <c r="AP167" s="173" t="s">
        <v>207</v>
      </c>
      <c r="AQ167" s="196">
        <v>345.54</v>
      </c>
      <c r="AR167" s="173" t="s">
        <v>207</v>
      </c>
      <c r="AS167" s="196">
        <v>424.68</v>
      </c>
      <c r="AT167" s="173" t="s">
        <v>207</v>
      </c>
      <c r="AU167" s="196">
        <f t="shared" si="15"/>
        <v>3231.74</v>
      </c>
      <c r="AV167" s="199">
        <v>1.82</v>
      </c>
      <c r="AW167" s="196" t="str">
        <f>M167</f>
        <v>150/70</v>
      </c>
      <c r="AX167" s="196" t="str">
        <f>R167</f>
        <v>зависимая</v>
      </c>
      <c r="AY167" s="196">
        <f>I167</f>
        <v>1</v>
      </c>
      <c r="AZ167" s="196" t="s">
        <v>440</v>
      </c>
    </row>
    <row r="168" spans="1:52" s="208" customFormat="1" ht="15" customHeight="1" x14ac:dyDescent="0.3">
      <c r="A168" s="114">
        <v>157</v>
      </c>
      <c r="B168" s="174" t="s">
        <v>735</v>
      </c>
      <c r="C168" s="186" t="s">
        <v>445</v>
      </c>
      <c r="D168" s="173" t="s">
        <v>288</v>
      </c>
      <c r="E168" s="173" t="s">
        <v>264</v>
      </c>
      <c r="F168" s="173" t="s">
        <v>442</v>
      </c>
      <c r="G168" s="197" t="s">
        <v>145</v>
      </c>
      <c r="H168" s="198" t="s">
        <v>146</v>
      </c>
      <c r="I168" s="198">
        <v>1</v>
      </c>
      <c r="J168" s="200" t="s">
        <v>446</v>
      </c>
      <c r="K168" s="200">
        <v>80</v>
      </c>
      <c r="L168" s="200">
        <v>7.93</v>
      </c>
      <c r="M168" s="200" t="s">
        <v>438</v>
      </c>
      <c r="N168" s="200" t="s">
        <v>218</v>
      </c>
      <c r="O168" s="200" t="s">
        <v>219</v>
      </c>
      <c r="P168" s="200" t="s">
        <v>218</v>
      </c>
      <c r="Q168" s="215" t="s">
        <v>219</v>
      </c>
      <c r="R168" s="200" t="s">
        <v>296</v>
      </c>
      <c r="S168" s="200" t="s">
        <v>219</v>
      </c>
      <c r="T168" s="200" t="s">
        <v>444</v>
      </c>
      <c r="U168" s="198">
        <v>2801.23</v>
      </c>
      <c r="V168" s="198">
        <v>2958.31</v>
      </c>
      <c r="W168" s="173">
        <v>476.52</v>
      </c>
      <c r="X168" s="173" t="s">
        <v>207</v>
      </c>
      <c r="Y168" s="173">
        <v>354.65</v>
      </c>
      <c r="Z168" s="173" t="s">
        <v>207</v>
      </c>
      <c r="AA168" s="173">
        <v>463.71</v>
      </c>
      <c r="AB168" s="173" t="s">
        <v>207</v>
      </c>
      <c r="AC168" s="173">
        <v>282.39</v>
      </c>
      <c r="AD168" s="173" t="s">
        <v>207</v>
      </c>
      <c r="AE168" s="173">
        <v>127.53</v>
      </c>
      <c r="AF168" s="173" t="s">
        <v>207</v>
      </c>
      <c r="AG168" s="173">
        <v>77.58</v>
      </c>
      <c r="AH168" s="173" t="s">
        <v>207</v>
      </c>
      <c r="AI168" s="173">
        <v>74.69</v>
      </c>
      <c r="AJ168" s="173" t="s">
        <v>207</v>
      </c>
      <c r="AK168" s="173">
        <v>71.150000000000006</v>
      </c>
      <c r="AL168" s="173" t="s">
        <v>207</v>
      </c>
      <c r="AM168" s="173">
        <v>87.7</v>
      </c>
      <c r="AN168" s="173" t="s">
        <v>207</v>
      </c>
      <c r="AO168" s="173">
        <v>283.32</v>
      </c>
      <c r="AP168" s="173" t="s">
        <v>207</v>
      </c>
      <c r="AQ168" s="173">
        <v>295.02999999999997</v>
      </c>
      <c r="AR168" s="173" t="s">
        <v>207</v>
      </c>
      <c r="AS168" s="173">
        <v>388.3</v>
      </c>
      <c r="AT168" s="173" t="s">
        <v>207</v>
      </c>
      <c r="AU168" s="173">
        <f t="shared" si="15"/>
        <v>2982.5700000000006</v>
      </c>
      <c r="AV168" s="204">
        <v>1.86</v>
      </c>
      <c r="AW168" s="173" t="str">
        <f>M168</f>
        <v>150/70</v>
      </c>
      <c r="AX168" s="173" t="str">
        <f>R168</f>
        <v>зависимая</v>
      </c>
      <c r="AY168" s="173">
        <f>I168</f>
        <v>1</v>
      </c>
      <c r="AZ168" s="173" t="s">
        <v>440</v>
      </c>
    </row>
    <row r="169" spans="1:52" s="208" customFormat="1" ht="15" customHeight="1" x14ac:dyDescent="0.3">
      <c r="A169" s="114">
        <v>158</v>
      </c>
      <c r="B169" s="174" t="s">
        <v>736</v>
      </c>
      <c r="C169" s="173" t="s">
        <v>435</v>
      </c>
      <c r="D169" s="196" t="s">
        <v>288</v>
      </c>
      <c r="E169" s="196" t="s">
        <v>205</v>
      </c>
      <c r="F169" s="173" t="s">
        <v>447</v>
      </c>
      <c r="G169" s="197" t="s">
        <v>145</v>
      </c>
      <c r="H169" s="198" t="s">
        <v>146</v>
      </c>
      <c r="I169" s="199">
        <v>1</v>
      </c>
      <c r="J169" s="200" t="s">
        <v>437</v>
      </c>
      <c r="K169" s="201">
        <v>40</v>
      </c>
      <c r="L169" s="202"/>
      <c r="M169" s="200" t="s">
        <v>438</v>
      </c>
      <c r="N169" s="200" t="s">
        <v>218</v>
      </c>
      <c r="O169" s="200" t="s">
        <v>219</v>
      </c>
      <c r="P169" s="200" t="s">
        <v>218</v>
      </c>
      <c r="Q169" s="200" t="s">
        <v>219</v>
      </c>
      <c r="R169" s="200" t="s">
        <v>208</v>
      </c>
      <c r="S169" s="200" t="s">
        <v>219</v>
      </c>
      <c r="T169" s="173" t="s">
        <v>458</v>
      </c>
      <c r="U169" s="199">
        <v>254.79599999999999</v>
      </c>
      <c r="V169" s="199">
        <f>514.4+675.85</f>
        <v>1190.25</v>
      </c>
      <c r="W169" s="196">
        <v>188.83</v>
      </c>
      <c r="X169" s="196" t="s">
        <v>207</v>
      </c>
      <c r="Y169" s="196">
        <v>132.84</v>
      </c>
      <c r="Z169" s="196" t="s">
        <v>207</v>
      </c>
      <c r="AA169" s="196">
        <v>172.27</v>
      </c>
      <c r="AB169" s="196" t="s">
        <v>207</v>
      </c>
      <c r="AC169" s="196">
        <v>101.31</v>
      </c>
      <c r="AD169" s="196" t="s">
        <v>207</v>
      </c>
      <c r="AE169" s="196">
        <v>44.77</v>
      </c>
      <c r="AF169" s="196" t="s">
        <v>207</v>
      </c>
      <c r="AG169" s="196">
        <v>22.58</v>
      </c>
      <c r="AH169" s="196" t="s">
        <v>207</v>
      </c>
      <c r="AI169" s="196">
        <v>22.46</v>
      </c>
      <c r="AJ169" s="196" t="s">
        <v>207</v>
      </c>
      <c r="AK169" s="196">
        <v>23.45</v>
      </c>
      <c r="AL169" s="196" t="s">
        <v>207</v>
      </c>
      <c r="AM169" s="196">
        <v>27.09</v>
      </c>
      <c r="AN169" s="196" t="s">
        <v>207</v>
      </c>
      <c r="AO169" s="196">
        <v>135.5</v>
      </c>
      <c r="AP169" s="196" t="s">
        <v>207</v>
      </c>
      <c r="AQ169" s="196">
        <v>105.4</v>
      </c>
      <c r="AR169" s="196" t="s">
        <v>207</v>
      </c>
      <c r="AS169" s="196">
        <v>144.4</v>
      </c>
      <c r="AT169" s="196" t="s">
        <v>207</v>
      </c>
      <c r="AU169" s="196">
        <f t="shared" si="15"/>
        <v>1120.9000000000001</v>
      </c>
      <c r="AV169" s="199">
        <v>0.53</v>
      </c>
      <c r="AW169" s="196" t="s">
        <v>438</v>
      </c>
      <c r="AX169" s="173" t="s">
        <v>296</v>
      </c>
      <c r="AY169" s="196">
        <v>1</v>
      </c>
      <c r="AZ169" s="196" t="s">
        <v>440</v>
      </c>
    </row>
    <row r="170" spans="1:52" s="208" customFormat="1" ht="15" customHeight="1" x14ac:dyDescent="0.3">
      <c r="A170" s="114">
        <v>159</v>
      </c>
      <c r="B170" s="174" t="s">
        <v>737</v>
      </c>
      <c r="C170" s="173" t="s">
        <v>435</v>
      </c>
      <c r="D170" s="196" t="s">
        <v>288</v>
      </c>
      <c r="E170" s="196" t="s">
        <v>205</v>
      </c>
      <c r="F170" s="173" t="s">
        <v>447</v>
      </c>
      <c r="G170" s="197" t="s">
        <v>145</v>
      </c>
      <c r="H170" s="198" t="s">
        <v>146</v>
      </c>
      <c r="I170" s="199">
        <v>1</v>
      </c>
      <c r="J170" s="200" t="s">
        <v>437</v>
      </c>
      <c r="K170" s="201">
        <v>40</v>
      </c>
      <c r="L170" s="202"/>
      <c r="M170" s="200" t="s">
        <v>438</v>
      </c>
      <c r="N170" s="200" t="s">
        <v>218</v>
      </c>
      <c r="O170" s="200" t="s">
        <v>219</v>
      </c>
      <c r="P170" s="200" t="s">
        <v>218</v>
      </c>
      <c r="Q170" s="200" t="s">
        <v>219</v>
      </c>
      <c r="R170" s="200" t="s">
        <v>208</v>
      </c>
      <c r="S170" s="200" t="s">
        <v>219</v>
      </c>
      <c r="T170" s="173" t="s">
        <v>458</v>
      </c>
      <c r="U170" s="199">
        <v>245.4</v>
      </c>
      <c r="V170" s="199">
        <f>497.39+654.29</f>
        <v>1151.6799999999998</v>
      </c>
      <c r="W170" s="196">
        <v>180</v>
      </c>
      <c r="X170" s="196" t="s">
        <v>207</v>
      </c>
      <c r="Y170" s="196">
        <v>125.74</v>
      </c>
      <c r="Z170" s="196" t="s">
        <v>207</v>
      </c>
      <c r="AA170" s="196">
        <v>171.35</v>
      </c>
      <c r="AB170" s="196" t="s">
        <v>207</v>
      </c>
      <c r="AC170" s="196">
        <v>95.75</v>
      </c>
      <c r="AD170" s="196" t="s">
        <v>207</v>
      </c>
      <c r="AE170" s="196">
        <v>45.16</v>
      </c>
      <c r="AF170" s="196" t="s">
        <v>207</v>
      </c>
      <c r="AG170" s="196">
        <v>23.46</v>
      </c>
      <c r="AH170" s="196" t="s">
        <v>207</v>
      </c>
      <c r="AI170" s="196">
        <v>20.57</v>
      </c>
      <c r="AJ170" s="196" t="s">
        <v>207</v>
      </c>
      <c r="AK170" s="196">
        <v>20.43</v>
      </c>
      <c r="AL170" s="196" t="s">
        <v>207</v>
      </c>
      <c r="AM170" s="196">
        <v>25.86</v>
      </c>
      <c r="AN170" s="196" t="s">
        <v>207</v>
      </c>
      <c r="AO170" s="196">
        <v>118.68</v>
      </c>
      <c r="AP170" s="196" t="s">
        <v>207</v>
      </c>
      <c r="AQ170" s="196">
        <v>98.7</v>
      </c>
      <c r="AR170" s="196" t="s">
        <v>207</v>
      </c>
      <c r="AS170" s="196">
        <v>141.9</v>
      </c>
      <c r="AT170" s="196" t="s">
        <v>207</v>
      </c>
      <c r="AU170" s="196">
        <f t="shared" si="15"/>
        <v>1067.6000000000001</v>
      </c>
      <c r="AV170" s="199">
        <v>0.53</v>
      </c>
      <c r="AW170" s="196" t="s">
        <v>438</v>
      </c>
      <c r="AX170" s="173" t="s">
        <v>296</v>
      </c>
      <c r="AY170" s="196">
        <v>1</v>
      </c>
      <c r="AZ170" s="196" t="s">
        <v>440</v>
      </c>
    </row>
    <row r="171" spans="1:52" s="208" customFormat="1" ht="15" customHeight="1" x14ac:dyDescent="0.3">
      <c r="A171" s="73">
        <v>160</v>
      </c>
      <c r="B171" s="174" t="s">
        <v>738</v>
      </c>
      <c r="C171" s="173" t="s">
        <v>435</v>
      </c>
      <c r="D171" s="196" t="s">
        <v>288</v>
      </c>
      <c r="E171" s="196" t="s">
        <v>205</v>
      </c>
      <c r="F171" s="173" t="s">
        <v>447</v>
      </c>
      <c r="G171" s="197" t="s">
        <v>145</v>
      </c>
      <c r="H171" s="198" t="s">
        <v>146</v>
      </c>
      <c r="I171" s="199">
        <v>1</v>
      </c>
      <c r="J171" s="200" t="s">
        <v>437</v>
      </c>
      <c r="K171" s="201">
        <v>40</v>
      </c>
      <c r="L171" s="202"/>
      <c r="M171" s="200" t="s">
        <v>438</v>
      </c>
      <c r="N171" s="200" t="s">
        <v>218</v>
      </c>
      <c r="O171" s="200" t="s">
        <v>219</v>
      </c>
      <c r="P171" s="200" t="s">
        <v>218</v>
      </c>
      <c r="Q171" s="200" t="s">
        <v>219</v>
      </c>
      <c r="R171" s="200" t="s">
        <v>208</v>
      </c>
      <c r="S171" s="200" t="s">
        <v>219</v>
      </c>
      <c r="T171" s="173" t="s">
        <v>458</v>
      </c>
      <c r="U171" s="199">
        <v>256.10000000000002</v>
      </c>
      <c r="V171" s="199">
        <f>490.82+707.77</f>
        <v>1198.5899999999999</v>
      </c>
      <c r="W171" s="196">
        <v>194.97</v>
      </c>
      <c r="X171" s="196" t="s">
        <v>207</v>
      </c>
      <c r="Y171" s="196">
        <v>139.85</v>
      </c>
      <c r="Z171" s="196" t="s">
        <v>207</v>
      </c>
      <c r="AA171" s="196">
        <v>186.63</v>
      </c>
      <c r="AB171" s="196" t="s">
        <v>207</v>
      </c>
      <c r="AC171" s="196">
        <v>124.25</v>
      </c>
      <c r="AD171" s="196" t="s">
        <v>207</v>
      </c>
      <c r="AE171" s="196">
        <v>48.19</v>
      </c>
      <c r="AF171" s="196" t="s">
        <v>207</v>
      </c>
      <c r="AG171" s="196">
        <v>29.46</v>
      </c>
      <c r="AH171" s="196" t="s">
        <v>207</v>
      </c>
      <c r="AI171" s="196">
        <v>26.92</v>
      </c>
      <c r="AJ171" s="196" t="s">
        <v>207</v>
      </c>
      <c r="AK171" s="196">
        <v>25.89</v>
      </c>
      <c r="AL171" s="196" t="s">
        <v>207</v>
      </c>
      <c r="AM171" s="196">
        <v>31.74</v>
      </c>
      <c r="AN171" s="196" t="s">
        <v>207</v>
      </c>
      <c r="AO171" s="196">
        <v>125.11</v>
      </c>
      <c r="AP171" s="196" t="s">
        <v>207</v>
      </c>
      <c r="AQ171" s="196">
        <v>109.2</v>
      </c>
      <c r="AR171" s="196" t="s">
        <v>207</v>
      </c>
      <c r="AS171" s="196">
        <v>141.9</v>
      </c>
      <c r="AT171" s="196" t="s">
        <v>207</v>
      </c>
      <c r="AU171" s="196">
        <f t="shared" si="15"/>
        <v>1184.1100000000001</v>
      </c>
      <c r="AV171" s="199">
        <v>55</v>
      </c>
      <c r="AW171" s="196" t="s">
        <v>438</v>
      </c>
      <c r="AX171" s="173" t="s">
        <v>296</v>
      </c>
      <c r="AY171" s="196">
        <v>1</v>
      </c>
      <c r="AZ171" s="196" t="s">
        <v>440</v>
      </c>
    </row>
    <row r="172" spans="1:52" s="208" customFormat="1" ht="15" customHeight="1" x14ac:dyDescent="0.3">
      <c r="A172" s="114">
        <v>161</v>
      </c>
      <c r="B172" s="174" t="s">
        <v>739</v>
      </c>
      <c r="C172" s="186" t="s">
        <v>445</v>
      </c>
      <c r="D172" s="196" t="s">
        <v>288</v>
      </c>
      <c r="E172" s="196" t="s">
        <v>264</v>
      </c>
      <c r="F172" s="196" t="s">
        <v>442</v>
      </c>
      <c r="G172" s="197" t="s">
        <v>145</v>
      </c>
      <c r="H172" s="198" t="s">
        <v>146</v>
      </c>
      <c r="I172" s="199">
        <v>2</v>
      </c>
      <c r="J172" s="200" t="s">
        <v>446</v>
      </c>
      <c r="K172" s="200">
        <v>50</v>
      </c>
      <c r="L172" s="200">
        <v>8</v>
      </c>
      <c r="M172" s="200" t="s">
        <v>438</v>
      </c>
      <c r="N172" s="200" t="s">
        <v>218</v>
      </c>
      <c r="O172" s="200" t="s">
        <v>219</v>
      </c>
      <c r="P172" s="200" t="s">
        <v>218</v>
      </c>
      <c r="Q172" s="215" t="s">
        <v>219</v>
      </c>
      <c r="R172" s="200" t="s">
        <v>296</v>
      </c>
      <c r="S172" s="200" t="s">
        <v>219</v>
      </c>
      <c r="T172" s="200" t="s">
        <v>444</v>
      </c>
      <c r="U172" s="207">
        <v>3265.28</v>
      </c>
      <c r="V172" s="207">
        <v>3059.22</v>
      </c>
      <c r="W172" s="196">
        <v>498.5</v>
      </c>
      <c r="X172" s="173" t="s">
        <v>207</v>
      </c>
      <c r="Y172" s="196">
        <v>359.85</v>
      </c>
      <c r="Z172" s="173" t="s">
        <v>207</v>
      </c>
      <c r="AA172" s="196">
        <v>437.84</v>
      </c>
      <c r="AB172" s="173" t="s">
        <v>207</v>
      </c>
      <c r="AC172" s="196">
        <v>280.89999999999998</v>
      </c>
      <c r="AD172" s="173" t="s">
        <v>207</v>
      </c>
      <c r="AE172" s="196">
        <v>114.15</v>
      </c>
      <c r="AF172" s="173" t="s">
        <v>207</v>
      </c>
      <c r="AG172" s="196">
        <v>81.760000000000005</v>
      </c>
      <c r="AH172" s="173" t="s">
        <v>207</v>
      </c>
      <c r="AI172" s="196">
        <v>90.47</v>
      </c>
      <c r="AJ172" s="173" t="s">
        <v>207</v>
      </c>
      <c r="AK172" s="196">
        <v>102.45</v>
      </c>
      <c r="AL172" s="173" t="s">
        <v>207</v>
      </c>
      <c r="AM172" s="196">
        <v>109.86</v>
      </c>
      <c r="AN172" s="173" t="s">
        <v>207</v>
      </c>
      <c r="AO172" s="196">
        <v>279.66000000000003</v>
      </c>
      <c r="AP172" s="173" t="s">
        <v>207</v>
      </c>
      <c r="AQ172" s="196">
        <v>334.52</v>
      </c>
      <c r="AR172" s="173" t="s">
        <v>207</v>
      </c>
      <c r="AS172" s="196">
        <v>374.11</v>
      </c>
      <c r="AT172" s="173" t="s">
        <v>207</v>
      </c>
      <c r="AU172" s="204">
        <f t="shared" si="15"/>
        <v>3064.07</v>
      </c>
      <c r="AV172" s="199">
        <v>1.5</v>
      </c>
      <c r="AW172" s="196" t="str">
        <f t="shared" ref="AW172:AW180" si="16">M172</f>
        <v>150/70</v>
      </c>
      <c r="AX172" s="196" t="str">
        <f t="shared" ref="AX172:AX180" si="17">R172</f>
        <v>зависимая</v>
      </c>
      <c r="AY172" s="196">
        <f t="shared" ref="AY172:AY179" si="18">I172</f>
        <v>2</v>
      </c>
      <c r="AZ172" s="196" t="s">
        <v>440</v>
      </c>
    </row>
    <row r="173" spans="1:52" s="208" customFormat="1" ht="15" customHeight="1" x14ac:dyDescent="0.3">
      <c r="A173" s="114">
        <v>162</v>
      </c>
      <c r="B173" s="174" t="s">
        <v>740</v>
      </c>
      <c r="C173" s="186" t="s">
        <v>445</v>
      </c>
      <c r="D173" s="213" t="s">
        <v>288</v>
      </c>
      <c r="E173" s="213" t="s">
        <v>264</v>
      </c>
      <c r="F173" s="186" t="s">
        <v>442</v>
      </c>
      <c r="G173" s="197" t="s">
        <v>145</v>
      </c>
      <c r="H173" s="210" t="s">
        <v>146</v>
      </c>
      <c r="I173" s="214">
        <v>1</v>
      </c>
      <c r="J173" s="215" t="s">
        <v>446</v>
      </c>
      <c r="K173" s="210">
        <v>65</v>
      </c>
      <c r="L173" s="215">
        <v>7.93</v>
      </c>
      <c r="M173" s="215" t="s">
        <v>438</v>
      </c>
      <c r="N173" s="215" t="s">
        <v>218</v>
      </c>
      <c r="O173" s="215" t="s">
        <v>219</v>
      </c>
      <c r="P173" s="215" t="s">
        <v>218</v>
      </c>
      <c r="Q173" s="216" t="s">
        <v>219</v>
      </c>
      <c r="R173" s="215" t="s">
        <v>296</v>
      </c>
      <c r="S173" s="215" t="s">
        <v>219</v>
      </c>
      <c r="T173" s="215" t="s">
        <v>444</v>
      </c>
      <c r="U173" s="230">
        <v>3348.06</v>
      </c>
      <c r="V173" s="230">
        <v>3371.2</v>
      </c>
      <c r="W173" s="213">
        <v>533.83000000000004</v>
      </c>
      <c r="X173" s="217" t="s">
        <v>207</v>
      </c>
      <c r="Y173" s="213">
        <v>347.37</v>
      </c>
      <c r="Z173" s="217" t="s">
        <v>207</v>
      </c>
      <c r="AA173" s="213">
        <v>508.81</v>
      </c>
      <c r="AB173" s="217" t="s">
        <v>207</v>
      </c>
      <c r="AC173" s="213">
        <v>328.77</v>
      </c>
      <c r="AD173" s="217" t="s">
        <v>207</v>
      </c>
      <c r="AE173" s="213">
        <v>107.39</v>
      </c>
      <c r="AF173" s="217" t="s">
        <v>207</v>
      </c>
      <c r="AG173" s="213">
        <v>73.91</v>
      </c>
      <c r="AH173" s="217" t="s">
        <v>207</v>
      </c>
      <c r="AI173" s="213">
        <v>68.989999999999995</v>
      </c>
      <c r="AJ173" s="217" t="s">
        <v>207</v>
      </c>
      <c r="AK173" s="213">
        <v>66.489999999999995</v>
      </c>
      <c r="AL173" s="217" t="s">
        <v>207</v>
      </c>
      <c r="AM173" s="213">
        <v>84.62</v>
      </c>
      <c r="AN173" s="217" t="s">
        <v>207</v>
      </c>
      <c r="AO173" s="213">
        <v>299.16000000000003</v>
      </c>
      <c r="AP173" s="217" t="s">
        <v>207</v>
      </c>
      <c r="AQ173" s="213">
        <v>334.17</v>
      </c>
      <c r="AR173" s="217" t="s">
        <v>207</v>
      </c>
      <c r="AS173" s="213">
        <v>350.44</v>
      </c>
      <c r="AT173" s="217" t="s">
        <v>207</v>
      </c>
      <c r="AU173" s="213">
        <f t="shared" ref="AU173:AU179" si="19">W173+Y173+AA173+AC173+AE173+AG173+AI173+AK173+AM173+AO173+AQ173+AS173</f>
        <v>3103.9500000000003</v>
      </c>
      <c r="AV173" s="214">
        <v>1.79</v>
      </c>
      <c r="AW173" s="186" t="str">
        <f t="shared" si="16"/>
        <v>150/70</v>
      </c>
      <c r="AX173" s="186" t="str">
        <f t="shared" si="17"/>
        <v>зависимая</v>
      </c>
      <c r="AY173" s="186">
        <f t="shared" si="18"/>
        <v>1</v>
      </c>
      <c r="AZ173" s="186" t="s">
        <v>440</v>
      </c>
    </row>
    <row r="174" spans="1:52" s="208" customFormat="1" ht="15" customHeight="1" x14ac:dyDescent="0.3">
      <c r="A174" s="114">
        <v>163</v>
      </c>
      <c r="B174" s="174" t="s">
        <v>741</v>
      </c>
      <c r="C174" s="186" t="s">
        <v>445</v>
      </c>
      <c r="D174" s="213" t="s">
        <v>288</v>
      </c>
      <c r="E174" s="213" t="s">
        <v>264</v>
      </c>
      <c r="F174" s="186" t="s">
        <v>442</v>
      </c>
      <c r="G174" s="197" t="s">
        <v>145</v>
      </c>
      <c r="H174" s="210" t="s">
        <v>146</v>
      </c>
      <c r="I174" s="214">
        <v>1</v>
      </c>
      <c r="J174" s="215" t="s">
        <v>446</v>
      </c>
      <c r="K174" s="210">
        <v>40</v>
      </c>
      <c r="L174" s="215">
        <v>7.93</v>
      </c>
      <c r="M174" s="215" t="s">
        <v>438</v>
      </c>
      <c r="N174" s="215" t="s">
        <v>218</v>
      </c>
      <c r="O174" s="215" t="s">
        <v>219</v>
      </c>
      <c r="P174" s="215" t="s">
        <v>218</v>
      </c>
      <c r="Q174" s="216" t="s">
        <v>219</v>
      </c>
      <c r="R174" s="215" t="s">
        <v>296</v>
      </c>
      <c r="S174" s="215" t="s">
        <v>219</v>
      </c>
      <c r="T174" s="215" t="s">
        <v>444</v>
      </c>
      <c r="U174" s="230">
        <v>1171.82</v>
      </c>
      <c r="V174" s="230">
        <v>1104.8499999999999</v>
      </c>
      <c r="W174" s="213">
        <v>180.61</v>
      </c>
      <c r="X174" s="217" t="s">
        <v>207</v>
      </c>
      <c r="Y174" s="213">
        <v>145.59</v>
      </c>
      <c r="Z174" s="217" t="s">
        <v>207</v>
      </c>
      <c r="AA174" s="213">
        <v>178.05</v>
      </c>
      <c r="AB174" s="217" t="s">
        <v>207</v>
      </c>
      <c r="AC174" s="213">
        <v>109.05</v>
      </c>
      <c r="AD174" s="217" t="s">
        <v>207</v>
      </c>
      <c r="AE174" s="213">
        <v>34.659999999999997</v>
      </c>
      <c r="AF174" s="217" t="s">
        <v>207</v>
      </c>
      <c r="AG174" s="213">
        <v>25.18</v>
      </c>
      <c r="AH174" s="217" t="s">
        <v>207</v>
      </c>
      <c r="AI174" s="213">
        <v>23.9</v>
      </c>
      <c r="AJ174" s="217" t="s">
        <v>207</v>
      </c>
      <c r="AK174" s="213">
        <v>22.66</v>
      </c>
      <c r="AL174" s="217" t="s">
        <v>207</v>
      </c>
      <c r="AM174" s="213">
        <v>30.17</v>
      </c>
      <c r="AN174" s="217" t="s">
        <v>207</v>
      </c>
      <c r="AO174" s="213">
        <v>107.23</v>
      </c>
      <c r="AP174" s="217" t="s">
        <v>207</v>
      </c>
      <c r="AQ174" s="213">
        <v>125.19</v>
      </c>
      <c r="AR174" s="217" t="s">
        <v>207</v>
      </c>
      <c r="AS174" s="213">
        <v>141.19999999999999</v>
      </c>
      <c r="AT174" s="217" t="s">
        <v>207</v>
      </c>
      <c r="AU174" s="186">
        <f t="shared" si="19"/>
        <v>1123.49</v>
      </c>
      <c r="AV174" s="214">
        <v>0.51</v>
      </c>
      <c r="AW174" s="186" t="str">
        <f t="shared" si="16"/>
        <v>150/70</v>
      </c>
      <c r="AX174" s="186" t="str">
        <f t="shared" si="17"/>
        <v>зависимая</v>
      </c>
      <c r="AY174" s="186">
        <f t="shared" si="18"/>
        <v>1</v>
      </c>
      <c r="AZ174" s="186" t="s">
        <v>440</v>
      </c>
    </row>
    <row r="175" spans="1:52" s="208" customFormat="1" ht="15" customHeight="1" x14ac:dyDescent="0.3">
      <c r="A175" s="73">
        <v>164</v>
      </c>
      <c r="B175" s="174" t="s">
        <v>742</v>
      </c>
      <c r="C175" s="186" t="s">
        <v>445</v>
      </c>
      <c r="D175" s="213" t="s">
        <v>288</v>
      </c>
      <c r="E175" s="213" t="s">
        <v>264</v>
      </c>
      <c r="F175" s="186" t="s">
        <v>442</v>
      </c>
      <c r="G175" s="197" t="s">
        <v>145</v>
      </c>
      <c r="H175" s="210" t="s">
        <v>146</v>
      </c>
      <c r="I175" s="214">
        <v>1</v>
      </c>
      <c r="J175" s="215" t="s">
        <v>446</v>
      </c>
      <c r="K175" s="210">
        <v>50</v>
      </c>
      <c r="L175" s="215">
        <v>7.93</v>
      </c>
      <c r="M175" s="215" t="s">
        <v>438</v>
      </c>
      <c r="N175" s="215" t="s">
        <v>218</v>
      </c>
      <c r="O175" s="215" t="s">
        <v>219</v>
      </c>
      <c r="P175" s="215" t="s">
        <v>218</v>
      </c>
      <c r="Q175" s="216" t="s">
        <v>219</v>
      </c>
      <c r="R175" s="215" t="s">
        <v>296</v>
      </c>
      <c r="S175" s="215" t="s">
        <v>219</v>
      </c>
      <c r="T175" s="215" t="s">
        <v>444</v>
      </c>
      <c r="U175" s="230">
        <v>1274.32</v>
      </c>
      <c r="V175" s="230">
        <v>1291.28</v>
      </c>
      <c r="W175" s="213">
        <v>193.89</v>
      </c>
      <c r="X175" s="217" t="s">
        <v>207</v>
      </c>
      <c r="Y175" s="213">
        <v>158.07</v>
      </c>
      <c r="Z175" s="217" t="s">
        <v>207</v>
      </c>
      <c r="AA175" s="213">
        <v>187.82</v>
      </c>
      <c r="AB175" s="217" t="s">
        <v>207</v>
      </c>
      <c r="AC175" s="213">
        <v>110.38</v>
      </c>
      <c r="AD175" s="217" t="s">
        <v>207</v>
      </c>
      <c r="AE175" s="213">
        <v>49.86</v>
      </c>
      <c r="AF175" s="217" t="s">
        <v>207</v>
      </c>
      <c r="AG175" s="213">
        <v>30</v>
      </c>
      <c r="AH175" s="217" t="s">
        <v>207</v>
      </c>
      <c r="AI175" s="213">
        <v>29.1</v>
      </c>
      <c r="AJ175" s="217" t="s">
        <v>207</v>
      </c>
      <c r="AK175" s="213">
        <v>30.12</v>
      </c>
      <c r="AL175" s="217" t="s">
        <v>207</v>
      </c>
      <c r="AM175" s="213">
        <v>37.04</v>
      </c>
      <c r="AN175" s="217" t="s">
        <v>207</v>
      </c>
      <c r="AO175" s="213">
        <v>113.71</v>
      </c>
      <c r="AP175" s="217" t="s">
        <v>207</v>
      </c>
      <c r="AQ175" s="213">
        <v>131.93</v>
      </c>
      <c r="AR175" s="217" t="s">
        <v>207</v>
      </c>
      <c r="AS175" s="213">
        <v>152.63</v>
      </c>
      <c r="AT175" s="217" t="s">
        <v>207</v>
      </c>
      <c r="AU175" s="186">
        <f t="shared" si="19"/>
        <v>1224.5500000000002</v>
      </c>
      <c r="AV175" s="214">
        <v>0.55000000000000004</v>
      </c>
      <c r="AW175" s="186" t="str">
        <f t="shared" si="16"/>
        <v>150/70</v>
      </c>
      <c r="AX175" s="186" t="str">
        <f t="shared" si="17"/>
        <v>зависимая</v>
      </c>
      <c r="AY175" s="186">
        <f t="shared" si="18"/>
        <v>1</v>
      </c>
      <c r="AZ175" s="186" t="s">
        <v>440</v>
      </c>
    </row>
    <row r="176" spans="1:52" s="208" customFormat="1" ht="15" customHeight="1" x14ac:dyDescent="0.3">
      <c r="A176" s="114">
        <v>165</v>
      </c>
      <c r="B176" s="174" t="s">
        <v>743</v>
      </c>
      <c r="C176" s="186" t="s">
        <v>445</v>
      </c>
      <c r="D176" s="213" t="s">
        <v>288</v>
      </c>
      <c r="E176" s="213" t="s">
        <v>264</v>
      </c>
      <c r="F176" s="186" t="s">
        <v>442</v>
      </c>
      <c r="G176" s="197" t="s">
        <v>145</v>
      </c>
      <c r="H176" s="210" t="s">
        <v>146</v>
      </c>
      <c r="I176" s="214">
        <v>1</v>
      </c>
      <c r="J176" s="215" t="s">
        <v>446</v>
      </c>
      <c r="K176" s="210">
        <v>40</v>
      </c>
      <c r="L176" s="215">
        <v>7.93</v>
      </c>
      <c r="M176" s="215" t="s">
        <v>438</v>
      </c>
      <c r="N176" s="215" t="s">
        <v>218</v>
      </c>
      <c r="O176" s="215" t="s">
        <v>219</v>
      </c>
      <c r="P176" s="215" t="s">
        <v>218</v>
      </c>
      <c r="Q176" s="216" t="s">
        <v>219</v>
      </c>
      <c r="R176" s="215" t="s">
        <v>296</v>
      </c>
      <c r="S176" s="215" t="s">
        <v>219</v>
      </c>
      <c r="T176" s="215" t="s">
        <v>444</v>
      </c>
      <c r="U176" s="230">
        <v>1237.6300000000001</v>
      </c>
      <c r="V176" s="230">
        <v>1167.92</v>
      </c>
      <c r="W176" s="213">
        <v>176.27</v>
      </c>
      <c r="X176" s="217" t="s">
        <v>207</v>
      </c>
      <c r="Y176" s="213">
        <v>118.37</v>
      </c>
      <c r="Z176" s="217" t="s">
        <v>207</v>
      </c>
      <c r="AA176" s="213">
        <v>176.01</v>
      </c>
      <c r="AB176" s="217" t="s">
        <v>207</v>
      </c>
      <c r="AC176" s="213">
        <v>91.95</v>
      </c>
      <c r="AD176" s="217" t="s">
        <v>207</v>
      </c>
      <c r="AE176" s="213">
        <v>51.76</v>
      </c>
      <c r="AF176" s="217" t="s">
        <v>207</v>
      </c>
      <c r="AG176" s="213">
        <v>22.17</v>
      </c>
      <c r="AH176" s="217" t="s">
        <v>207</v>
      </c>
      <c r="AI176" s="213">
        <v>22.71</v>
      </c>
      <c r="AJ176" s="217" t="s">
        <v>207</v>
      </c>
      <c r="AK176" s="213">
        <v>21.13</v>
      </c>
      <c r="AL176" s="217" t="s">
        <v>207</v>
      </c>
      <c r="AM176" s="213">
        <v>26.43</v>
      </c>
      <c r="AN176" s="217" t="s">
        <v>207</v>
      </c>
      <c r="AO176" s="213">
        <v>112.88</v>
      </c>
      <c r="AP176" s="217" t="s">
        <v>207</v>
      </c>
      <c r="AQ176" s="213">
        <v>113.75</v>
      </c>
      <c r="AR176" s="217" t="s">
        <v>207</v>
      </c>
      <c r="AS176" s="213">
        <v>139.6</v>
      </c>
      <c r="AT176" s="217" t="s">
        <v>207</v>
      </c>
      <c r="AU176" s="186">
        <f t="shared" si="19"/>
        <v>1073.03</v>
      </c>
      <c r="AV176" s="214">
        <v>0.52</v>
      </c>
      <c r="AW176" s="186" t="str">
        <f t="shared" si="16"/>
        <v>150/70</v>
      </c>
      <c r="AX176" s="186" t="str">
        <f t="shared" si="17"/>
        <v>зависимая</v>
      </c>
      <c r="AY176" s="186">
        <f t="shared" si="18"/>
        <v>1</v>
      </c>
      <c r="AZ176" s="186" t="s">
        <v>440</v>
      </c>
    </row>
    <row r="177" spans="1:52" s="208" customFormat="1" ht="15" customHeight="1" x14ac:dyDescent="0.3">
      <c r="A177" s="114">
        <v>166</v>
      </c>
      <c r="B177" s="174" t="s">
        <v>744</v>
      </c>
      <c r="C177" s="186" t="s">
        <v>445</v>
      </c>
      <c r="D177" s="213" t="s">
        <v>288</v>
      </c>
      <c r="E177" s="213" t="s">
        <v>264</v>
      </c>
      <c r="F177" s="186" t="s">
        <v>442</v>
      </c>
      <c r="G177" s="197" t="s">
        <v>145</v>
      </c>
      <c r="H177" s="210" t="s">
        <v>146</v>
      </c>
      <c r="I177" s="214">
        <v>1</v>
      </c>
      <c r="J177" s="215" t="s">
        <v>446</v>
      </c>
      <c r="K177" s="210">
        <v>50</v>
      </c>
      <c r="L177" s="215">
        <v>7.93</v>
      </c>
      <c r="M177" s="215" t="s">
        <v>438</v>
      </c>
      <c r="N177" s="215" t="s">
        <v>218</v>
      </c>
      <c r="O177" s="215" t="s">
        <v>219</v>
      </c>
      <c r="P177" s="215" t="s">
        <v>218</v>
      </c>
      <c r="Q177" s="216" t="s">
        <v>219</v>
      </c>
      <c r="R177" s="215" t="s">
        <v>296</v>
      </c>
      <c r="S177" s="215" t="s">
        <v>219</v>
      </c>
      <c r="T177" s="215" t="s">
        <v>444</v>
      </c>
      <c r="U177" s="230">
        <v>1200.19</v>
      </c>
      <c r="V177" s="230">
        <v>1168.6199999999999</v>
      </c>
      <c r="W177" s="213">
        <v>160.1</v>
      </c>
      <c r="X177" s="217" t="s">
        <v>207</v>
      </c>
      <c r="Y177" s="213">
        <v>138.28</v>
      </c>
      <c r="Z177" s="217" t="s">
        <v>207</v>
      </c>
      <c r="AA177" s="213">
        <v>140.80000000000001</v>
      </c>
      <c r="AB177" s="217" t="s">
        <v>207</v>
      </c>
      <c r="AC177" s="213">
        <v>84.74</v>
      </c>
      <c r="AD177" s="217" t="s">
        <v>207</v>
      </c>
      <c r="AE177" s="213">
        <v>45.19</v>
      </c>
      <c r="AF177" s="217" t="s">
        <v>207</v>
      </c>
      <c r="AG177" s="213">
        <v>24.75</v>
      </c>
      <c r="AH177" s="217" t="s">
        <v>207</v>
      </c>
      <c r="AI177" s="213">
        <v>23.64</v>
      </c>
      <c r="AJ177" s="217" t="s">
        <v>207</v>
      </c>
      <c r="AK177" s="213">
        <v>22.53</v>
      </c>
      <c r="AL177" s="217" t="s">
        <v>207</v>
      </c>
      <c r="AM177" s="213">
        <v>29.71</v>
      </c>
      <c r="AN177" s="217" t="s">
        <v>207</v>
      </c>
      <c r="AO177" s="213">
        <v>102.17</v>
      </c>
      <c r="AP177" s="217" t="s">
        <v>207</v>
      </c>
      <c r="AQ177" s="213">
        <v>108.88</v>
      </c>
      <c r="AR177" s="217" t="s">
        <v>207</v>
      </c>
      <c r="AS177" s="213">
        <v>131.91</v>
      </c>
      <c r="AT177" s="217" t="s">
        <v>207</v>
      </c>
      <c r="AU177" s="213">
        <f t="shared" si="19"/>
        <v>1012.6999999999998</v>
      </c>
      <c r="AV177" s="214">
        <v>0.53</v>
      </c>
      <c r="AW177" s="186" t="str">
        <f t="shared" si="16"/>
        <v>150/70</v>
      </c>
      <c r="AX177" s="186" t="str">
        <f t="shared" si="17"/>
        <v>зависимая</v>
      </c>
      <c r="AY177" s="186">
        <f t="shared" si="18"/>
        <v>1</v>
      </c>
      <c r="AZ177" s="186" t="s">
        <v>440</v>
      </c>
    </row>
    <row r="178" spans="1:52" s="208" customFormat="1" ht="15" customHeight="1" x14ac:dyDescent="0.3">
      <c r="A178" s="114">
        <v>167</v>
      </c>
      <c r="B178" s="174" t="s">
        <v>745</v>
      </c>
      <c r="C178" s="186" t="s">
        <v>445</v>
      </c>
      <c r="D178" s="186" t="s">
        <v>288</v>
      </c>
      <c r="E178" s="186" t="s">
        <v>264</v>
      </c>
      <c r="F178" s="186" t="s">
        <v>442</v>
      </c>
      <c r="G178" s="197" t="s">
        <v>145</v>
      </c>
      <c r="H178" s="210" t="s">
        <v>146</v>
      </c>
      <c r="I178" s="210">
        <v>1</v>
      </c>
      <c r="J178" s="215" t="s">
        <v>446</v>
      </c>
      <c r="K178" s="210">
        <v>80</v>
      </c>
      <c r="L178" s="215">
        <v>7.93</v>
      </c>
      <c r="M178" s="215" t="s">
        <v>438</v>
      </c>
      <c r="N178" s="215" t="s">
        <v>218</v>
      </c>
      <c r="O178" s="215" t="s">
        <v>219</v>
      </c>
      <c r="P178" s="215" t="s">
        <v>218</v>
      </c>
      <c r="Q178" s="216" t="s">
        <v>219</v>
      </c>
      <c r="R178" s="215" t="s">
        <v>296</v>
      </c>
      <c r="S178" s="215" t="s">
        <v>219</v>
      </c>
      <c r="T178" s="215" t="s">
        <v>444</v>
      </c>
      <c r="U178" s="230">
        <v>3117.6</v>
      </c>
      <c r="V178" s="230">
        <v>3187.07</v>
      </c>
      <c r="W178" s="186">
        <v>498.06</v>
      </c>
      <c r="X178" s="217" t="s">
        <v>207</v>
      </c>
      <c r="Y178" s="186">
        <v>386.36</v>
      </c>
      <c r="Z178" s="217" t="s">
        <v>207</v>
      </c>
      <c r="AA178" s="186">
        <v>491.97</v>
      </c>
      <c r="AB178" s="217" t="s">
        <v>207</v>
      </c>
      <c r="AC178" s="186">
        <v>297.04000000000002</v>
      </c>
      <c r="AD178" s="217" t="s">
        <v>207</v>
      </c>
      <c r="AE178" s="186">
        <v>119.03</v>
      </c>
      <c r="AF178" s="217" t="s">
        <v>207</v>
      </c>
      <c r="AG178" s="186">
        <v>73.56</v>
      </c>
      <c r="AH178" s="217" t="s">
        <v>207</v>
      </c>
      <c r="AI178" s="186">
        <v>63.88</v>
      </c>
      <c r="AJ178" s="217" t="s">
        <v>207</v>
      </c>
      <c r="AK178" s="186">
        <v>59.74</v>
      </c>
      <c r="AL178" s="217" t="s">
        <v>207</v>
      </c>
      <c r="AM178" s="186">
        <v>83.46</v>
      </c>
      <c r="AN178" s="217" t="s">
        <v>207</v>
      </c>
      <c r="AO178" s="186">
        <v>295.02</v>
      </c>
      <c r="AP178" s="217" t="s">
        <v>207</v>
      </c>
      <c r="AQ178" s="186">
        <v>334.2</v>
      </c>
      <c r="AR178" s="217" t="s">
        <v>207</v>
      </c>
      <c r="AS178" s="186">
        <v>408.97</v>
      </c>
      <c r="AT178" s="217" t="s">
        <v>207</v>
      </c>
      <c r="AU178" s="186">
        <f t="shared" si="19"/>
        <v>3111.29</v>
      </c>
      <c r="AV178" s="140">
        <v>1.84</v>
      </c>
      <c r="AW178" s="186" t="str">
        <f t="shared" si="16"/>
        <v>150/70</v>
      </c>
      <c r="AX178" s="186" t="str">
        <f t="shared" si="17"/>
        <v>зависимая</v>
      </c>
      <c r="AY178" s="186">
        <f t="shared" si="18"/>
        <v>1</v>
      </c>
      <c r="AZ178" s="186" t="s">
        <v>440</v>
      </c>
    </row>
    <row r="179" spans="1:52" s="208" customFormat="1" ht="15" customHeight="1" x14ac:dyDescent="0.3">
      <c r="A179" s="73">
        <v>168</v>
      </c>
      <c r="B179" s="174" t="s">
        <v>746</v>
      </c>
      <c r="C179" s="186" t="s">
        <v>445</v>
      </c>
      <c r="D179" s="186" t="s">
        <v>288</v>
      </c>
      <c r="E179" s="186" t="s">
        <v>264</v>
      </c>
      <c r="F179" s="186" t="s">
        <v>442</v>
      </c>
      <c r="G179" s="197" t="s">
        <v>145</v>
      </c>
      <c r="H179" s="210" t="s">
        <v>146</v>
      </c>
      <c r="I179" s="210">
        <v>1</v>
      </c>
      <c r="J179" s="215" t="s">
        <v>446</v>
      </c>
      <c r="K179" s="210">
        <v>32</v>
      </c>
      <c r="L179" s="215">
        <v>7.93</v>
      </c>
      <c r="M179" s="215" t="s">
        <v>438</v>
      </c>
      <c r="N179" s="215" t="s">
        <v>218</v>
      </c>
      <c r="O179" s="215" t="s">
        <v>219</v>
      </c>
      <c r="P179" s="215" t="s">
        <v>218</v>
      </c>
      <c r="Q179" s="216" t="s">
        <v>219</v>
      </c>
      <c r="R179" s="215" t="s">
        <v>296</v>
      </c>
      <c r="S179" s="215" t="s">
        <v>219</v>
      </c>
      <c r="T179" s="215" t="s">
        <v>444</v>
      </c>
      <c r="U179" s="230">
        <v>697.87</v>
      </c>
      <c r="V179" s="230">
        <v>715.03</v>
      </c>
      <c r="W179" s="186">
        <v>117.09</v>
      </c>
      <c r="X179" s="217" t="s">
        <v>207</v>
      </c>
      <c r="Y179" s="186">
        <v>89.27</v>
      </c>
      <c r="Z179" s="217" t="s">
        <v>207</v>
      </c>
      <c r="AA179" s="186">
        <v>111.88</v>
      </c>
      <c r="AB179" s="217" t="s">
        <v>207</v>
      </c>
      <c r="AC179" s="186">
        <v>68.540000000000006</v>
      </c>
      <c r="AD179" s="217" t="s">
        <v>207</v>
      </c>
      <c r="AE179" s="186">
        <v>24</v>
      </c>
      <c r="AF179" s="217" t="s">
        <v>207</v>
      </c>
      <c r="AG179" s="186">
        <v>13.15</v>
      </c>
      <c r="AH179" s="217" t="s">
        <v>207</v>
      </c>
      <c r="AI179" s="186">
        <v>10.95</v>
      </c>
      <c r="AJ179" s="217" t="s">
        <v>207</v>
      </c>
      <c r="AK179" s="186">
        <v>10.51</v>
      </c>
      <c r="AL179" s="217" t="s">
        <v>207</v>
      </c>
      <c r="AM179" s="186">
        <v>14.71</v>
      </c>
      <c r="AN179" s="217" t="s">
        <v>207</v>
      </c>
      <c r="AO179" s="186">
        <v>64.69</v>
      </c>
      <c r="AP179" s="217" t="s">
        <v>207</v>
      </c>
      <c r="AQ179" s="186">
        <v>76.3</v>
      </c>
      <c r="AR179" s="217" t="s">
        <v>207</v>
      </c>
      <c r="AS179" s="186">
        <v>83.89</v>
      </c>
      <c r="AT179" s="217" t="s">
        <v>207</v>
      </c>
      <c r="AU179" s="186">
        <f t="shared" si="19"/>
        <v>684.9799999999999</v>
      </c>
      <c r="AV179" s="140">
        <v>0.36</v>
      </c>
      <c r="AW179" s="186" t="str">
        <f t="shared" si="16"/>
        <v>150/70</v>
      </c>
      <c r="AX179" s="186" t="str">
        <f t="shared" si="17"/>
        <v>зависимая</v>
      </c>
      <c r="AY179" s="186">
        <f t="shared" si="18"/>
        <v>1</v>
      </c>
      <c r="AZ179" s="186" t="s">
        <v>440</v>
      </c>
    </row>
    <row r="180" spans="1:52" s="208" customFormat="1" ht="15" customHeight="1" x14ac:dyDescent="0.3">
      <c r="A180" s="114">
        <v>169</v>
      </c>
      <c r="B180" s="174" t="s">
        <v>747</v>
      </c>
      <c r="C180" s="186" t="s">
        <v>445</v>
      </c>
      <c r="D180" s="213" t="s">
        <v>204</v>
      </c>
      <c r="E180" s="213" t="s">
        <v>250</v>
      </c>
      <c r="F180" s="186" t="s">
        <v>442</v>
      </c>
      <c r="G180" s="197" t="s">
        <v>145</v>
      </c>
      <c r="H180" s="210" t="s">
        <v>146</v>
      </c>
      <c r="I180" s="214">
        <v>4</v>
      </c>
      <c r="J180" s="215" t="s">
        <v>450</v>
      </c>
      <c r="K180" s="215">
        <v>40</v>
      </c>
      <c r="L180" s="215">
        <v>8.77</v>
      </c>
      <c r="M180" s="215" t="s">
        <v>438</v>
      </c>
      <c r="N180" s="215" t="s">
        <v>218</v>
      </c>
      <c r="O180" s="215" t="s">
        <v>219</v>
      </c>
      <c r="P180" s="215" t="s">
        <v>218</v>
      </c>
      <c r="Q180" s="215" t="s">
        <v>219</v>
      </c>
      <c r="R180" s="215" t="s">
        <v>296</v>
      </c>
      <c r="S180" s="215" t="s">
        <v>219</v>
      </c>
      <c r="T180" s="186" t="s">
        <v>498</v>
      </c>
      <c r="U180" s="214">
        <v>6167.67</v>
      </c>
      <c r="V180" s="214">
        <v>6507.16</v>
      </c>
      <c r="W180" s="213">
        <v>1097.49</v>
      </c>
      <c r="X180" s="217" t="s">
        <v>207</v>
      </c>
      <c r="Y180" s="213">
        <v>697.31</v>
      </c>
      <c r="Z180" s="217" t="s">
        <v>207</v>
      </c>
      <c r="AA180" s="213">
        <v>1066.25</v>
      </c>
      <c r="AB180" s="217" t="s">
        <v>207</v>
      </c>
      <c r="AC180" s="213">
        <v>653.63</v>
      </c>
      <c r="AD180" s="217" t="s">
        <v>207</v>
      </c>
      <c r="AE180" s="213">
        <v>216.24</v>
      </c>
      <c r="AF180" s="217" t="s">
        <v>207</v>
      </c>
      <c r="AG180" s="213">
        <v>139.30000000000001</v>
      </c>
      <c r="AH180" s="217" t="s">
        <v>207</v>
      </c>
      <c r="AI180" s="213">
        <v>116.81</v>
      </c>
      <c r="AJ180" s="217" t="s">
        <v>207</v>
      </c>
      <c r="AK180" s="213">
        <v>128.16</v>
      </c>
      <c r="AL180" s="217" t="s">
        <v>207</v>
      </c>
      <c r="AM180" s="213">
        <v>165.94</v>
      </c>
      <c r="AN180" s="217" t="s">
        <v>207</v>
      </c>
      <c r="AO180" s="213">
        <v>731.92</v>
      </c>
      <c r="AP180" s="217" t="s">
        <v>207</v>
      </c>
      <c r="AQ180" s="213">
        <v>582.29</v>
      </c>
      <c r="AR180" s="217" t="s">
        <v>207</v>
      </c>
      <c r="AS180" s="213">
        <v>782.02</v>
      </c>
      <c r="AT180" s="217" t="s">
        <v>207</v>
      </c>
      <c r="AU180" s="196">
        <f t="shared" ref="AU180:AU230" si="20">SUM(W180,Y180,AA180,AC180,AE180,AG180,AI180,AK180,AM180,AO180,AQ180,AS180)</f>
        <v>6377.3600000000006</v>
      </c>
      <c r="AV180" s="214">
        <v>2.93</v>
      </c>
      <c r="AW180" s="186" t="str">
        <f t="shared" si="16"/>
        <v>150/70</v>
      </c>
      <c r="AX180" s="186" t="str">
        <f t="shared" si="17"/>
        <v>зависимая</v>
      </c>
      <c r="AY180" s="186">
        <v>3</v>
      </c>
      <c r="AZ180" s="186" t="s">
        <v>440</v>
      </c>
    </row>
    <row r="181" spans="1:52" s="208" customFormat="1" ht="15" customHeight="1" x14ac:dyDescent="0.3">
      <c r="A181" s="114">
        <v>170</v>
      </c>
      <c r="B181" s="174" t="s">
        <v>748</v>
      </c>
      <c r="C181" s="204" t="s">
        <v>435</v>
      </c>
      <c r="D181" s="204" t="s">
        <v>204</v>
      </c>
      <c r="E181" s="204" t="s">
        <v>289</v>
      </c>
      <c r="F181" s="204" t="s">
        <v>499</v>
      </c>
      <c r="G181" s="197" t="s">
        <v>145</v>
      </c>
      <c r="H181" s="198" t="s">
        <v>146</v>
      </c>
      <c r="I181" s="198">
        <v>6</v>
      </c>
      <c r="J181" s="198" t="s">
        <v>451</v>
      </c>
      <c r="K181" s="198">
        <v>32</v>
      </c>
      <c r="L181" s="229">
        <v>9.52</v>
      </c>
      <c r="M181" s="198" t="s">
        <v>452</v>
      </c>
      <c r="N181" s="198" t="s">
        <v>218</v>
      </c>
      <c r="O181" s="198" t="s">
        <v>219</v>
      </c>
      <c r="P181" s="198" t="s">
        <v>218</v>
      </c>
      <c r="Q181" s="198" t="s">
        <v>219</v>
      </c>
      <c r="R181" s="198" t="s">
        <v>208</v>
      </c>
      <c r="S181" s="198" t="s">
        <v>219</v>
      </c>
      <c r="T181" s="198"/>
      <c r="U181" s="198">
        <v>7227.63</v>
      </c>
      <c r="V181" s="198">
        <v>6793.11</v>
      </c>
      <c r="W181" s="199">
        <v>933.55</v>
      </c>
      <c r="X181" s="199" t="s">
        <v>207</v>
      </c>
      <c r="Y181" s="199">
        <v>729.49</v>
      </c>
      <c r="Z181" s="199" t="s">
        <v>207</v>
      </c>
      <c r="AA181" s="199">
        <v>771.36</v>
      </c>
      <c r="AB181" s="199" t="s">
        <v>207</v>
      </c>
      <c r="AC181" s="199">
        <v>593.75</v>
      </c>
      <c r="AD181" s="199" t="s">
        <v>207</v>
      </c>
      <c r="AE181" s="199">
        <v>246.79</v>
      </c>
      <c r="AF181" s="199" t="s">
        <v>207</v>
      </c>
      <c r="AG181" s="199">
        <v>157.72</v>
      </c>
      <c r="AH181" s="199" t="s">
        <v>207</v>
      </c>
      <c r="AI181" s="199">
        <v>143.79</v>
      </c>
      <c r="AJ181" s="199" t="s">
        <v>207</v>
      </c>
      <c r="AK181" s="199">
        <v>135.91999999999999</v>
      </c>
      <c r="AL181" s="199" t="s">
        <v>207</v>
      </c>
      <c r="AM181" s="199">
        <v>191.94</v>
      </c>
      <c r="AN181" s="199" t="s">
        <v>207</v>
      </c>
      <c r="AO181" s="199">
        <v>658.52</v>
      </c>
      <c r="AP181" s="199" t="s">
        <v>207</v>
      </c>
      <c r="AQ181" s="199">
        <v>627.53</v>
      </c>
      <c r="AR181" s="199" t="s">
        <v>207</v>
      </c>
      <c r="AS181" s="199">
        <v>611.34</v>
      </c>
      <c r="AT181" s="199" t="s">
        <v>207</v>
      </c>
      <c r="AU181" s="199">
        <f t="shared" si="20"/>
        <v>5801.7</v>
      </c>
      <c r="AV181" s="204">
        <v>3.14</v>
      </c>
      <c r="AW181" s="204" t="s">
        <v>452</v>
      </c>
      <c r="AX181" s="204" t="s">
        <v>296</v>
      </c>
      <c r="AY181" s="204">
        <v>5</v>
      </c>
      <c r="AZ181" s="204" t="s">
        <v>440</v>
      </c>
    </row>
    <row r="182" spans="1:52" s="208" customFormat="1" ht="15" customHeight="1" x14ac:dyDescent="0.3">
      <c r="A182" s="114">
        <v>171</v>
      </c>
      <c r="B182" s="174" t="s">
        <v>749</v>
      </c>
      <c r="C182" s="199" t="s">
        <v>435</v>
      </c>
      <c r="D182" s="199" t="s">
        <v>204</v>
      </c>
      <c r="E182" s="199" t="s">
        <v>289</v>
      </c>
      <c r="F182" s="199" t="s">
        <v>500</v>
      </c>
      <c r="G182" s="197" t="s">
        <v>145</v>
      </c>
      <c r="H182" s="198" t="s">
        <v>146</v>
      </c>
      <c r="I182" s="199">
        <v>3</v>
      </c>
      <c r="J182" s="198" t="s">
        <v>437</v>
      </c>
      <c r="K182" s="198">
        <v>50</v>
      </c>
      <c r="L182" s="229"/>
      <c r="M182" s="198" t="s">
        <v>438</v>
      </c>
      <c r="N182" s="198" t="s">
        <v>218</v>
      </c>
      <c r="O182" s="198" t="s">
        <v>219</v>
      </c>
      <c r="P182" s="198" t="s">
        <v>218</v>
      </c>
      <c r="Q182" s="198" t="s">
        <v>219</v>
      </c>
      <c r="R182" s="198" t="s">
        <v>208</v>
      </c>
      <c r="S182" s="198" t="s">
        <v>219</v>
      </c>
      <c r="T182" s="140" t="s">
        <v>472</v>
      </c>
      <c r="U182" s="199">
        <v>5042.63</v>
      </c>
      <c r="V182" s="199">
        <v>4606.18</v>
      </c>
      <c r="W182" s="199">
        <v>663.63819569999998</v>
      </c>
      <c r="X182" s="199" t="s">
        <v>473</v>
      </c>
      <c r="Y182" s="199">
        <v>494.43864680000001</v>
      </c>
      <c r="Z182" s="199" t="s">
        <v>473</v>
      </c>
      <c r="AA182" s="199">
        <v>649.54822979999994</v>
      </c>
      <c r="AB182" s="199" t="s">
        <v>473</v>
      </c>
      <c r="AC182" s="199">
        <v>384.98895320000003</v>
      </c>
      <c r="AD182" s="199" t="s">
        <v>473</v>
      </c>
      <c r="AE182" s="199">
        <v>198.9594553</v>
      </c>
      <c r="AF182" s="199" t="s">
        <v>473</v>
      </c>
      <c r="AG182" s="199">
        <v>128.75965110000001</v>
      </c>
      <c r="AH182" s="199" t="s">
        <v>473</v>
      </c>
      <c r="AI182" s="199">
        <v>136.44034780000001</v>
      </c>
      <c r="AJ182" s="199" t="s">
        <v>473</v>
      </c>
      <c r="AK182" s="199">
        <v>124.1603108</v>
      </c>
      <c r="AL182" s="199" t="s">
        <v>473</v>
      </c>
      <c r="AM182" s="199">
        <v>134.25033859999999</v>
      </c>
      <c r="AN182" s="199" t="s">
        <v>473</v>
      </c>
      <c r="AO182" s="199">
        <v>401.131012</v>
      </c>
      <c r="AP182" s="199" t="s">
        <v>473</v>
      </c>
      <c r="AQ182" s="199">
        <v>381.4009547</v>
      </c>
      <c r="AR182" s="199" t="s">
        <v>473</v>
      </c>
      <c r="AS182" s="199">
        <v>485.60122109999998</v>
      </c>
      <c r="AT182" s="199" t="s">
        <v>473</v>
      </c>
      <c r="AU182" s="199">
        <f t="shared" si="20"/>
        <v>4183.3173169000002</v>
      </c>
      <c r="AV182" s="199">
        <v>2</v>
      </c>
      <c r="AW182" s="199" t="s">
        <v>438</v>
      </c>
      <c r="AX182" s="199" t="s">
        <v>296</v>
      </c>
      <c r="AY182" s="199">
        <v>3</v>
      </c>
      <c r="AZ182" s="199" t="s">
        <v>440</v>
      </c>
    </row>
    <row r="183" spans="1:52" s="208" customFormat="1" ht="15" customHeight="1" x14ac:dyDescent="0.3">
      <c r="A183" s="73">
        <v>172</v>
      </c>
      <c r="B183" s="174" t="s">
        <v>750</v>
      </c>
      <c r="C183" s="196" t="s">
        <v>435</v>
      </c>
      <c r="D183" s="196" t="s">
        <v>204</v>
      </c>
      <c r="E183" s="196" t="s">
        <v>289</v>
      </c>
      <c r="F183" s="196" t="s">
        <v>447</v>
      </c>
      <c r="G183" s="197" t="s">
        <v>145</v>
      </c>
      <c r="H183" s="198" t="s">
        <v>146</v>
      </c>
      <c r="I183" s="199">
        <v>5</v>
      </c>
      <c r="J183" s="200" t="s">
        <v>437</v>
      </c>
      <c r="K183" s="201">
        <v>50</v>
      </c>
      <c r="L183" s="202"/>
      <c r="M183" s="200" t="s">
        <v>438</v>
      </c>
      <c r="N183" s="200" t="s">
        <v>218</v>
      </c>
      <c r="O183" s="200" t="s">
        <v>219</v>
      </c>
      <c r="P183" s="200" t="s">
        <v>218</v>
      </c>
      <c r="Q183" s="200" t="s">
        <v>219</v>
      </c>
      <c r="R183" s="200" t="s">
        <v>208</v>
      </c>
      <c r="S183" s="200" t="s">
        <v>219</v>
      </c>
      <c r="T183" s="173" t="s">
        <v>501</v>
      </c>
      <c r="U183" s="199">
        <v>9391.6299999999992</v>
      </c>
      <c r="V183" s="199">
        <f>6103.35+3442.68-100.4</f>
        <v>9445.630000000001</v>
      </c>
      <c r="W183" s="199">
        <v>1345.32</v>
      </c>
      <c r="X183" s="199" t="s">
        <v>473</v>
      </c>
      <c r="Y183" s="209">
        <v>904.32</v>
      </c>
      <c r="Z183" s="199" t="s">
        <v>473</v>
      </c>
      <c r="AA183" s="209">
        <v>1305.1300000000001</v>
      </c>
      <c r="AB183" s="199" t="s">
        <v>473</v>
      </c>
      <c r="AC183" s="209">
        <v>812.59</v>
      </c>
      <c r="AD183" s="199" t="s">
        <v>473</v>
      </c>
      <c r="AE183" s="199">
        <v>302.27</v>
      </c>
      <c r="AF183" s="199" t="s">
        <v>473</v>
      </c>
      <c r="AG183" s="199">
        <v>364.54</v>
      </c>
      <c r="AH183" s="199" t="s">
        <v>473</v>
      </c>
      <c r="AI183" s="199">
        <v>390.32</v>
      </c>
      <c r="AJ183" s="199" t="s">
        <v>473</v>
      </c>
      <c r="AK183" s="199">
        <f>213.32+0.25+0.25</f>
        <v>213.82</v>
      </c>
      <c r="AL183" s="199" t="s">
        <v>473</v>
      </c>
      <c r="AM183" s="199">
        <v>210.38</v>
      </c>
      <c r="AN183" s="199" t="s">
        <v>473</v>
      </c>
      <c r="AO183" s="199">
        <v>755.61</v>
      </c>
      <c r="AP183" s="199" t="s">
        <v>473</v>
      </c>
      <c r="AQ183" s="199">
        <v>652.59</v>
      </c>
      <c r="AR183" s="199" t="s">
        <v>473</v>
      </c>
      <c r="AS183" s="199">
        <v>963.68</v>
      </c>
      <c r="AT183" s="199" t="s">
        <v>473</v>
      </c>
      <c r="AU183" s="196">
        <f t="shared" si="20"/>
        <v>8220.5699999999979</v>
      </c>
      <c r="AV183" s="199">
        <v>3.67</v>
      </c>
      <c r="AW183" s="196" t="s">
        <v>438</v>
      </c>
      <c r="AX183" s="196" t="s">
        <v>296</v>
      </c>
      <c r="AY183" s="196">
        <v>5</v>
      </c>
      <c r="AZ183" s="196" t="s">
        <v>440</v>
      </c>
    </row>
    <row r="184" spans="1:52" s="208" customFormat="1" ht="15" customHeight="1" x14ac:dyDescent="0.3">
      <c r="A184" s="114">
        <v>173</v>
      </c>
      <c r="B184" s="174" t="s">
        <v>751</v>
      </c>
      <c r="C184" s="173" t="s">
        <v>435</v>
      </c>
      <c r="D184" s="196" t="s">
        <v>288</v>
      </c>
      <c r="E184" s="196" t="s">
        <v>205</v>
      </c>
      <c r="F184" s="173" t="s">
        <v>447</v>
      </c>
      <c r="G184" s="197" t="s">
        <v>145</v>
      </c>
      <c r="H184" s="198" t="s">
        <v>146</v>
      </c>
      <c r="I184" s="199">
        <v>1</v>
      </c>
      <c r="J184" s="200" t="s">
        <v>437</v>
      </c>
      <c r="K184" s="201">
        <v>65</v>
      </c>
      <c r="L184" s="202">
        <v>7.93</v>
      </c>
      <c r="M184" s="200" t="s">
        <v>438</v>
      </c>
      <c r="N184" s="200" t="s">
        <v>218</v>
      </c>
      <c r="O184" s="200" t="s">
        <v>219</v>
      </c>
      <c r="P184" s="200" t="s">
        <v>218</v>
      </c>
      <c r="Q184" s="200" t="s">
        <v>219</v>
      </c>
      <c r="R184" s="200" t="s">
        <v>208</v>
      </c>
      <c r="S184" s="200" t="s">
        <v>219</v>
      </c>
      <c r="T184" s="200"/>
      <c r="U184" s="199">
        <v>3760.23</v>
      </c>
      <c r="V184" s="199">
        <v>3600.05</v>
      </c>
      <c r="W184" s="199">
        <v>469.99</v>
      </c>
      <c r="X184" s="199" t="s">
        <v>456</v>
      </c>
      <c r="Y184" s="199">
        <v>469.99</v>
      </c>
      <c r="Z184" s="199" t="s">
        <v>456</v>
      </c>
      <c r="AA184" s="199">
        <v>429.22</v>
      </c>
      <c r="AB184" s="196" t="s">
        <v>456</v>
      </c>
      <c r="AC184" s="196">
        <v>347.65</v>
      </c>
      <c r="AD184" s="196" t="s">
        <v>207</v>
      </c>
      <c r="AE184" s="196">
        <v>187.96</v>
      </c>
      <c r="AF184" s="196" t="s">
        <v>207</v>
      </c>
      <c r="AG184" s="196">
        <v>83.21</v>
      </c>
      <c r="AH184" s="196" t="s">
        <v>207</v>
      </c>
      <c r="AI184" s="196">
        <v>89.07</v>
      </c>
      <c r="AJ184" s="196" t="s">
        <v>207</v>
      </c>
      <c r="AK184" s="196">
        <v>78.12</v>
      </c>
      <c r="AL184" s="196" t="s">
        <v>207</v>
      </c>
      <c r="AM184" s="196">
        <v>101.48</v>
      </c>
      <c r="AN184" s="196" t="s">
        <v>207</v>
      </c>
      <c r="AO184" s="196">
        <v>374.05</v>
      </c>
      <c r="AP184" s="196" t="s">
        <v>207</v>
      </c>
      <c r="AQ184" s="196">
        <v>424.78</v>
      </c>
      <c r="AR184" s="196" t="s">
        <v>207</v>
      </c>
      <c r="AS184" s="196">
        <v>494.66</v>
      </c>
      <c r="AT184" s="196" t="s">
        <v>207</v>
      </c>
      <c r="AU184" s="196">
        <f t="shared" si="20"/>
        <v>3550.1800000000003</v>
      </c>
      <c r="AV184" s="199">
        <v>1.97</v>
      </c>
      <c r="AW184" s="196" t="s">
        <v>438</v>
      </c>
      <c r="AX184" s="173" t="s">
        <v>296</v>
      </c>
      <c r="AY184" s="196">
        <v>1</v>
      </c>
      <c r="AZ184" s="196" t="s">
        <v>440</v>
      </c>
    </row>
    <row r="185" spans="1:52" s="208" customFormat="1" ht="15" customHeight="1" x14ac:dyDescent="0.3">
      <c r="A185" s="114">
        <v>174</v>
      </c>
      <c r="B185" s="174" t="s">
        <v>752</v>
      </c>
      <c r="C185" s="173" t="s">
        <v>435</v>
      </c>
      <c r="D185" s="196" t="s">
        <v>288</v>
      </c>
      <c r="E185" s="196" t="s">
        <v>205</v>
      </c>
      <c r="F185" s="173" t="s">
        <v>447</v>
      </c>
      <c r="G185" s="197" t="s">
        <v>145</v>
      </c>
      <c r="H185" s="198" t="s">
        <v>146</v>
      </c>
      <c r="I185" s="199">
        <v>1</v>
      </c>
      <c r="J185" s="200" t="s">
        <v>437</v>
      </c>
      <c r="K185" s="201">
        <v>50</v>
      </c>
      <c r="L185" s="202">
        <v>7.93</v>
      </c>
      <c r="M185" s="200" t="s">
        <v>438</v>
      </c>
      <c r="N185" s="200" t="s">
        <v>218</v>
      </c>
      <c r="O185" s="200" t="s">
        <v>219</v>
      </c>
      <c r="P185" s="200" t="s">
        <v>218</v>
      </c>
      <c r="Q185" s="200" t="s">
        <v>219</v>
      </c>
      <c r="R185" s="200" t="s">
        <v>208</v>
      </c>
      <c r="S185" s="200" t="s">
        <v>219</v>
      </c>
      <c r="T185" s="200"/>
      <c r="U185" s="199">
        <v>1223.57</v>
      </c>
      <c r="V185" s="199">
        <v>1265.1199999999999</v>
      </c>
      <c r="W185" s="196">
        <v>191.24</v>
      </c>
      <c r="X185" s="196" t="s">
        <v>207</v>
      </c>
      <c r="Y185" s="196">
        <v>157.33000000000001</v>
      </c>
      <c r="Z185" s="196" t="s">
        <v>207</v>
      </c>
      <c r="AA185" s="196">
        <v>191.38</v>
      </c>
      <c r="AB185" s="196" t="s">
        <v>207</v>
      </c>
      <c r="AC185" s="196">
        <v>120.08</v>
      </c>
      <c r="AD185" s="196" t="s">
        <v>207</v>
      </c>
      <c r="AE185" s="196">
        <v>46.14</v>
      </c>
      <c r="AF185" s="196" t="s">
        <v>207</v>
      </c>
      <c r="AG185" s="196">
        <v>23.45</v>
      </c>
      <c r="AH185" s="196" t="s">
        <v>207</v>
      </c>
      <c r="AI185" s="196">
        <v>23.18</v>
      </c>
      <c r="AJ185" s="196" t="s">
        <v>207</v>
      </c>
      <c r="AK185" s="196">
        <v>23.77</v>
      </c>
      <c r="AL185" s="196" t="s">
        <v>207</v>
      </c>
      <c r="AM185" s="196">
        <v>28.31</v>
      </c>
      <c r="AN185" s="196" t="s">
        <v>207</v>
      </c>
      <c r="AO185" s="196">
        <v>93.4</v>
      </c>
      <c r="AP185" s="196" t="s">
        <v>207</v>
      </c>
      <c r="AQ185" s="196">
        <v>145.24</v>
      </c>
      <c r="AR185" s="196" t="s">
        <v>207</v>
      </c>
      <c r="AS185" s="196">
        <v>154.82</v>
      </c>
      <c r="AT185" s="196" t="s">
        <v>207</v>
      </c>
      <c r="AU185" s="196">
        <f t="shared" si="20"/>
        <v>1198.3399999999999</v>
      </c>
      <c r="AV185" s="199">
        <v>0.52</v>
      </c>
      <c r="AW185" s="196" t="s">
        <v>438</v>
      </c>
      <c r="AX185" s="173" t="s">
        <v>296</v>
      </c>
      <c r="AY185" s="196">
        <v>1</v>
      </c>
      <c r="AZ185" s="196" t="s">
        <v>440</v>
      </c>
    </row>
    <row r="186" spans="1:52" s="208" customFormat="1" ht="15" customHeight="1" x14ac:dyDescent="0.3">
      <c r="A186" s="114">
        <v>175</v>
      </c>
      <c r="B186" s="174" t="s">
        <v>753</v>
      </c>
      <c r="C186" s="173" t="s">
        <v>435</v>
      </c>
      <c r="D186" s="196" t="s">
        <v>288</v>
      </c>
      <c r="E186" s="196" t="s">
        <v>205</v>
      </c>
      <c r="F186" s="173" t="s">
        <v>447</v>
      </c>
      <c r="G186" s="197" t="s">
        <v>145</v>
      </c>
      <c r="H186" s="198" t="s">
        <v>146</v>
      </c>
      <c r="I186" s="199">
        <v>1</v>
      </c>
      <c r="J186" s="200" t="s">
        <v>437</v>
      </c>
      <c r="K186" s="201">
        <v>65</v>
      </c>
      <c r="L186" s="202">
        <v>7.93</v>
      </c>
      <c r="M186" s="200" t="s">
        <v>438</v>
      </c>
      <c r="N186" s="200" t="s">
        <v>218</v>
      </c>
      <c r="O186" s="200" t="s">
        <v>219</v>
      </c>
      <c r="P186" s="200" t="s">
        <v>218</v>
      </c>
      <c r="Q186" s="200" t="s">
        <v>219</v>
      </c>
      <c r="R186" s="200" t="s">
        <v>208</v>
      </c>
      <c r="S186" s="200" t="s">
        <v>219</v>
      </c>
      <c r="T186" s="200"/>
      <c r="U186" s="199">
        <v>3924.33</v>
      </c>
      <c r="V186" s="199">
        <v>3647.03</v>
      </c>
      <c r="W186" s="199">
        <v>475.66</v>
      </c>
      <c r="X186" s="199" t="s">
        <v>456</v>
      </c>
      <c r="Y186" s="199">
        <v>475.66</v>
      </c>
      <c r="Z186" s="199" t="s">
        <v>456</v>
      </c>
      <c r="AA186" s="199">
        <v>442.39</v>
      </c>
      <c r="AB186" s="196" t="s">
        <v>456</v>
      </c>
      <c r="AC186" s="196">
        <v>370.81</v>
      </c>
      <c r="AD186" s="196" t="s">
        <v>207</v>
      </c>
      <c r="AE186" s="196">
        <v>125.68</v>
      </c>
      <c r="AF186" s="196" t="s">
        <v>207</v>
      </c>
      <c r="AG186" s="196">
        <v>93.02</v>
      </c>
      <c r="AH186" s="196" t="s">
        <v>207</v>
      </c>
      <c r="AI186" s="196">
        <v>85.16</v>
      </c>
      <c r="AJ186" s="196" t="s">
        <v>207</v>
      </c>
      <c r="AK186" s="196">
        <v>89</v>
      </c>
      <c r="AL186" s="196" t="s">
        <v>207</v>
      </c>
      <c r="AM186" s="196">
        <v>112.45</v>
      </c>
      <c r="AN186" s="196" t="s">
        <v>207</v>
      </c>
      <c r="AO186" s="196">
        <v>314.66000000000003</v>
      </c>
      <c r="AP186" s="196" t="s">
        <v>207</v>
      </c>
      <c r="AQ186" s="196">
        <v>415.97</v>
      </c>
      <c r="AR186" s="196" t="s">
        <v>207</v>
      </c>
      <c r="AS186" s="196">
        <v>457.66</v>
      </c>
      <c r="AT186" s="196" t="s">
        <v>207</v>
      </c>
      <c r="AU186" s="196">
        <f t="shared" si="20"/>
        <v>3458.12</v>
      </c>
      <c r="AV186" s="199">
        <v>2.09</v>
      </c>
      <c r="AW186" s="196" t="s">
        <v>438</v>
      </c>
      <c r="AX186" s="173" t="s">
        <v>296</v>
      </c>
      <c r="AY186" s="196">
        <v>1</v>
      </c>
      <c r="AZ186" s="196" t="s">
        <v>440</v>
      </c>
    </row>
    <row r="187" spans="1:52" s="208" customFormat="1" ht="15" customHeight="1" x14ac:dyDescent="0.3">
      <c r="A187" s="73">
        <v>176</v>
      </c>
      <c r="B187" s="174" t="s">
        <v>754</v>
      </c>
      <c r="C187" s="173" t="s">
        <v>435</v>
      </c>
      <c r="D187" s="196" t="s">
        <v>288</v>
      </c>
      <c r="E187" s="196" t="s">
        <v>205</v>
      </c>
      <c r="F187" s="173" t="s">
        <v>447</v>
      </c>
      <c r="G187" s="197" t="s">
        <v>145</v>
      </c>
      <c r="H187" s="198" t="s">
        <v>146</v>
      </c>
      <c r="I187" s="199">
        <v>1</v>
      </c>
      <c r="J187" s="200" t="s">
        <v>437</v>
      </c>
      <c r="K187" s="201">
        <v>50</v>
      </c>
      <c r="L187" s="202">
        <v>8</v>
      </c>
      <c r="M187" s="200" t="s">
        <v>438</v>
      </c>
      <c r="N187" s="200" t="s">
        <v>218</v>
      </c>
      <c r="O187" s="200" t="s">
        <v>219</v>
      </c>
      <c r="P187" s="200" t="s">
        <v>218</v>
      </c>
      <c r="Q187" s="200" t="s">
        <v>219</v>
      </c>
      <c r="R187" s="200" t="s">
        <v>208</v>
      </c>
      <c r="S187" s="200" t="s">
        <v>219</v>
      </c>
      <c r="T187" s="200"/>
      <c r="U187" s="199">
        <v>689.89</v>
      </c>
      <c r="V187" s="199">
        <v>657.14</v>
      </c>
      <c r="W187" s="196">
        <v>114.18</v>
      </c>
      <c r="X187" s="196" t="s">
        <v>207</v>
      </c>
      <c r="Y187" s="196">
        <v>74.94</v>
      </c>
      <c r="Z187" s="196" t="s">
        <v>207</v>
      </c>
      <c r="AA187" s="196">
        <v>97.65</v>
      </c>
      <c r="AB187" s="196" t="s">
        <v>207</v>
      </c>
      <c r="AC187" s="196">
        <v>65.650000000000006</v>
      </c>
      <c r="AD187" s="196" t="s">
        <v>207</v>
      </c>
      <c r="AE187" s="196">
        <v>17.97</v>
      </c>
      <c r="AF187" s="196" t="s">
        <v>207</v>
      </c>
      <c r="AG187" s="196">
        <v>12.56</v>
      </c>
      <c r="AH187" s="196" t="s">
        <v>207</v>
      </c>
      <c r="AI187" s="199">
        <v>17.77</v>
      </c>
      <c r="AJ187" s="196" t="s">
        <v>456</v>
      </c>
      <c r="AK187" s="196">
        <v>12.63</v>
      </c>
      <c r="AL187" s="196" t="s">
        <v>207</v>
      </c>
      <c r="AM187" s="196">
        <v>14.67</v>
      </c>
      <c r="AN187" s="196" t="s">
        <v>207</v>
      </c>
      <c r="AO187" s="196">
        <v>48.49</v>
      </c>
      <c r="AP187" s="196" t="s">
        <v>207</v>
      </c>
      <c r="AQ187" s="196">
        <v>67.17</v>
      </c>
      <c r="AR187" s="196" t="s">
        <v>207</v>
      </c>
      <c r="AS187" s="196">
        <v>93.25</v>
      </c>
      <c r="AT187" s="196" t="s">
        <v>207</v>
      </c>
      <c r="AU187" s="196">
        <f t="shared" si="20"/>
        <v>636.92999999999995</v>
      </c>
      <c r="AV187" s="199">
        <v>0.35</v>
      </c>
      <c r="AW187" s="196" t="s">
        <v>438</v>
      </c>
      <c r="AX187" s="173" t="s">
        <v>296</v>
      </c>
      <c r="AY187" s="196">
        <v>1</v>
      </c>
      <c r="AZ187" s="196" t="s">
        <v>440</v>
      </c>
    </row>
    <row r="188" spans="1:52" s="208" customFormat="1" ht="15" customHeight="1" x14ac:dyDescent="0.3">
      <c r="A188" s="114">
        <v>177</v>
      </c>
      <c r="B188" s="174" t="s">
        <v>755</v>
      </c>
      <c r="C188" s="173" t="s">
        <v>435</v>
      </c>
      <c r="D188" s="196" t="s">
        <v>288</v>
      </c>
      <c r="E188" s="196" t="s">
        <v>205</v>
      </c>
      <c r="F188" s="173" t="s">
        <v>447</v>
      </c>
      <c r="G188" s="197" t="s">
        <v>145</v>
      </c>
      <c r="H188" s="198" t="s">
        <v>146</v>
      </c>
      <c r="I188" s="199">
        <v>1</v>
      </c>
      <c r="J188" s="200" t="s">
        <v>437</v>
      </c>
      <c r="K188" s="201">
        <v>32</v>
      </c>
      <c r="L188" s="202">
        <v>7.93</v>
      </c>
      <c r="M188" s="200" t="s">
        <v>438</v>
      </c>
      <c r="N188" s="200" t="s">
        <v>218</v>
      </c>
      <c r="O188" s="200" t="s">
        <v>219</v>
      </c>
      <c r="P188" s="200" t="s">
        <v>218</v>
      </c>
      <c r="Q188" s="200" t="s">
        <v>219</v>
      </c>
      <c r="R188" s="200" t="s">
        <v>208</v>
      </c>
      <c r="S188" s="200" t="s">
        <v>219</v>
      </c>
      <c r="T188" s="200"/>
      <c r="U188" s="199">
        <v>810.99</v>
      </c>
      <c r="V188" s="199">
        <v>745.81</v>
      </c>
      <c r="W188" s="196">
        <v>137.29</v>
      </c>
      <c r="X188" s="196" t="s">
        <v>207</v>
      </c>
      <c r="Y188" s="196">
        <v>82.27</v>
      </c>
      <c r="Z188" s="196" t="s">
        <v>207</v>
      </c>
      <c r="AA188" s="196">
        <v>120</v>
      </c>
      <c r="AB188" s="196" t="s">
        <v>207</v>
      </c>
      <c r="AC188" s="196">
        <v>66.599999999999994</v>
      </c>
      <c r="AD188" s="196" t="s">
        <v>207</v>
      </c>
      <c r="AE188" s="196">
        <v>27.87</v>
      </c>
      <c r="AF188" s="196" t="s">
        <v>207</v>
      </c>
      <c r="AG188" s="196">
        <v>11.93</v>
      </c>
      <c r="AH188" s="196" t="s">
        <v>207</v>
      </c>
      <c r="AI188" s="196">
        <v>12.87</v>
      </c>
      <c r="AJ188" s="196" t="s">
        <v>207</v>
      </c>
      <c r="AK188" s="196">
        <v>10.67</v>
      </c>
      <c r="AL188" s="196" t="s">
        <v>207</v>
      </c>
      <c r="AM188" s="196">
        <v>15.93</v>
      </c>
      <c r="AN188" s="196" t="s">
        <v>207</v>
      </c>
      <c r="AO188" s="196">
        <v>72.650000000000006</v>
      </c>
      <c r="AP188" s="196" t="s">
        <v>207</v>
      </c>
      <c r="AQ188" s="196">
        <v>83.11</v>
      </c>
      <c r="AR188" s="196" t="s">
        <v>207</v>
      </c>
      <c r="AS188" s="196">
        <v>99.07</v>
      </c>
      <c r="AT188" s="196" t="s">
        <v>207</v>
      </c>
      <c r="AU188" s="196">
        <f t="shared" si="20"/>
        <v>740.26</v>
      </c>
      <c r="AV188" s="199">
        <v>0.36</v>
      </c>
      <c r="AW188" s="196" t="s">
        <v>438</v>
      </c>
      <c r="AX188" s="173" t="s">
        <v>296</v>
      </c>
      <c r="AY188" s="196">
        <v>1</v>
      </c>
      <c r="AZ188" s="196" t="s">
        <v>440</v>
      </c>
    </row>
    <row r="189" spans="1:52" s="208" customFormat="1" ht="15" customHeight="1" x14ac:dyDescent="0.3">
      <c r="A189" s="114">
        <v>178</v>
      </c>
      <c r="B189" s="174" t="s">
        <v>756</v>
      </c>
      <c r="C189" s="173" t="s">
        <v>435</v>
      </c>
      <c r="D189" s="196" t="s">
        <v>288</v>
      </c>
      <c r="E189" s="196" t="s">
        <v>205</v>
      </c>
      <c r="F189" s="173" t="s">
        <v>447</v>
      </c>
      <c r="G189" s="197" t="s">
        <v>145</v>
      </c>
      <c r="H189" s="198" t="s">
        <v>146</v>
      </c>
      <c r="I189" s="199">
        <v>1</v>
      </c>
      <c r="J189" s="200" t="s">
        <v>437</v>
      </c>
      <c r="K189" s="201">
        <v>50</v>
      </c>
      <c r="L189" s="202">
        <v>8</v>
      </c>
      <c r="M189" s="200" t="s">
        <v>438</v>
      </c>
      <c r="N189" s="200" t="s">
        <v>218</v>
      </c>
      <c r="O189" s="200" t="s">
        <v>219</v>
      </c>
      <c r="P189" s="200" t="s">
        <v>218</v>
      </c>
      <c r="Q189" s="200" t="s">
        <v>219</v>
      </c>
      <c r="R189" s="200" t="s">
        <v>208</v>
      </c>
      <c r="S189" s="200" t="s">
        <v>219</v>
      </c>
      <c r="T189" s="200"/>
      <c r="U189" s="199">
        <v>1159.33</v>
      </c>
      <c r="V189" s="199">
        <v>1046.9100000000001</v>
      </c>
      <c r="W189" s="196">
        <v>168.19</v>
      </c>
      <c r="X189" s="196" t="s">
        <v>207</v>
      </c>
      <c r="Y189" s="196">
        <v>130.82</v>
      </c>
      <c r="Z189" s="196" t="s">
        <v>207</v>
      </c>
      <c r="AA189" s="196">
        <v>155.51</v>
      </c>
      <c r="AB189" s="196" t="s">
        <v>207</v>
      </c>
      <c r="AC189" s="196">
        <v>113.48</v>
      </c>
      <c r="AD189" s="196" t="s">
        <v>207</v>
      </c>
      <c r="AE189" s="196">
        <v>45.33</v>
      </c>
      <c r="AF189" s="196" t="s">
        <v>207</v>
      </c>
      <c r="AG189" s="196">
        <v>25.48</v>
      </c>
      <c r="AH189" s="196" t="s">
        <v>207</v>
      </c>
      <c r="AI189" s="199">
        <v>33.01</v>
      </c>
      <c r="AJ189" s="196" t="s">
        <v>456</v>
      </c>
      <c r="AK189" s="196">
        <v>25.95</v>
      </c>
      <c r="AL189" s="196" t="s">
        <v>207</v>
      </c>
      <c r="AM189" s="196">
        <v>35.590000000000003</v>
      </c>
      <c r="AN189" s="196" t="s">
        <v>207</v>
      </c>
      <c r="AO189" s="196">
        <v>93.27</v>
      </c>
      <c r="AP189" s="196" t="s">
        <v>207</v>
      </c>
      <c r="AQ189" s="196">
        <v>120.75</v>
      </c>
      <c r="AR189" s="196" t="s">
        <v>207</v>
      </c>
      <c r="AS189" s="196">
        <v>140.36000000000001</v>
      </c>
      <c r="AT189" s="196" t="s">
        <v>207</v>
      </c>
      <c r="AU189" s="196">
        <f t="shared" si="20"/>
        <v>1087.7400000000002</v>
      </c>
      <c r="AV189" s="199">
        <v>0.5</v>
      </c>
      <c r="AW189" s="196" t="s">
        <v>438</v>
      </c>
      <c r="AX189" s="173" t="s">
        <v>296</v>
      </c>
      <c r="AY189" s="196">
        <v>1</v>
      </c>
      <c r="AZ189" s="196" t="s">
        <v>440</v>
      </c>
    </row>
    <row r="190" spans="1:52" s="208" customFormat="1" ht="15" customHeight="1" x14ac:dyDescent="0.3">
      <c r="A190" s="114">
        <v>179</v>
      </c>
      <c r="B190" s="174" t="s">
        <v>757</v>
      </c>
      <c r="C190" s="204" t="s">
        <v>435</v>
      </c>
      <c r="D190" s="199" t="s">
        <v>288</v>
      </c>
      <c r="E190" s="199" t="s">
        <v>205</v>
      </c>
      <c r="F190" s="204"/>
      <c r="G190" s="197" t="s">
        <v>145</v>
      </c>
      <c r="H190" s="198" t="s">
        <v>146</v>
      </c>
      <c r="I190" s="199">
        <v>1</v>
      </c>
      <c r="J190" s="198" t="s">
        <v>437</v>
      </c>
      <c r="K190" s="198">
        <v>50</v>
      </c>
      <c r="L190" s="229">
        <v>7.9</v>
      </c>
      <c r="M190" s="198" t="s">
        <v>438</v>
      </c>
      <c r="N190" s="198" t="s">
        <v>218</v>
      </c>
      <c r="O190" s="198" t="s">
        <v>219</v>
      </c>
      <c r="P190" s="198" t="s">
        <v>218</v>
      </c>
      <c r="Q190" s="198" t="s">
        <v>219</v>
      </c>
      <c r="R190" s="198" t="s">
        <v>208</v>
      </c>
      <c r="S190" s="198" t="s">
        <v>219</v>
      </c>
      <c r="T190" s="198"/>
      <c r="U190" s="199">
        <v>1246.19</v>
      </c>
      <c r="V190" s="199">
        <v>1264.8900000000001</v>
      </c>
      <c r="W190" s="199">
        <v>233.06</v>
      </c>
      <c r="X190" s="199" t="s">
        <v>207</v>
      </c>
      <c r="Y190" s="199">
        <v>118.57</v>
      </c>
      <c r="Z190" s="199" t="s">
        <v>207</v>
      </c>
      <c r="AA190" s="199">
        <v>196.24</v>
      </c>
      <c r="AB190" s="199" t="s">
        <v>207</v>
      </c>
      <c r="AC190" s="199">
        <v>117.27200000000001</v>
      </c>
      <c r="AD190" s="199" t="s">
        <v>207</v>
      </c>
      <c r="AE190" s="199">
        <v>36.869999999999997</v>
      </c>
      <c r="AF190" s="199" t="s">
        <v>207</v>
      </c>
      <c r="AG190" s="199">
        <v>24.574000000000002</v>
      </c>
      <c r="AH190" s="199" t="s">
        <v>207</v>
      </c>
      <c r="AI190" s="199">
        <v>30.06</v>
      </c>
      <c r="AJ190" s="199" t="s">
        <v>207</v>
      </c>
      <c r="AK190" s="199">
        <v>27.977</v>
      </c>
      <c r="AL190" s="199" t="s">
        <v>207</v>
      </c>
      <c r="AM190" s="199">
        <v>34.506</v>
      </c>
      <c r="AN190" s="199" t="s">
        <v>207</v>
      </c>
      <c r="AO190" s="199">
        <v>142.76</v>
      </c>
      <c r="AP190" s="199" t="s">
        <v>207</v>
      </c>
      <c r="AQ190" s="199">
        <v>122.4</v>
      </c>
      <c r="AR190" s="199" t="s">
        <v>207</v>
      </c>
      <c r="AS190" s="199">
        <v>164.5</v>
      </c>
      <c r="AT190" s="199" t="s">
        <v>207</v>
      </c>
      <c r="AU190" s="199">
        <f t="shared" si="20"/>
        <v>1248.789</v>
      </c>
      <c r="AV190" s="199">
        <v>0.56000000000000005</v>
      </c>
      <c r="AW190" s="199" t="s">
        <v>438</v>
      </c>
      <c r="AX190" s="204" t="s">
        <v>296</v>
      </c>
      <c r="AY190" s="199">
        <v>1</v>
      </c>
      <c r="AZ190" s="199" t="s">
        <v>440</v>
      </c>
    </row>
    <row r="191" spans="1:52" s="208" customFormat="1" ht="15" customHeight="1" x14ac:dyDescent="0.3">
      <c r="A191" s="73">
        <v>180</v>
      </c>
      <c r="B191" s="174" t="s">
        <v>758</v>
      </c>
      <c r="C191" s="204" t="s">
        <v>435</v>
      </c>
      <c r="D191" s="199" t="s">
        <v>288</v>
      </c>
      <c r="E191" s="199" t="s">
        <v>205</v>
      </c>
      <c r="F191" s="204"/>
      <c r="G191" s="197" t="s">
        <v>145</v>
      </c>
      <c r="H191" s="198" t="s">
        <v>146</v>
      </c>
      <c r="I191" s="199">
        <v>1</v>
      </c>
      <c r="J191" s="198" t="s">
        <v>437</v>
      </c>
      <c r="K191" s="198">
        <v>40</v>
      </c>
      <c r="L191" s="229">
        <v>8.14</v>
      </c>
      <c r="M191" s="198" t="s">
        <v>438</v>
      </c>
      <c r="N191" s="198" t="s">
        <v>218</v>
      </c>
      <c r="O191" s="198" t="s">
        <v>219</v>
      </c>
      <c r="P191" s="198" t="s">
        <v>218</v>
      </c>
      <c r="Q191" s="198" t="s">
        <v>219</v>
      </c>
      <c r="R191" s="198" t="s">
        <v>208</v>
      </c>
      <c r="S191" s="198" t="s">
        <v>219</v>
      </c>
      <c r="T191" s="198"/>
      <c r="U191" s="199">
        <v>1298.47</v>
      </c>
      <c r="V191" s="199">
        <v>1356.79</v>
      </c>
      <c r="W191" s="199">
        <v>147.52000000000001</v>
      </c>
      <c r="X191" s="199" t="s">
        <v>456</v>
      </c>
      <c r="Y191" s="199">
        <v>147.52000000000001</v>
      </c>
      <c r="Z191" s="199" t="s">
        <v>456</v>
      </c>
      <c r="AA191" s="199">
        <v>138.75</v>
      </c>
      <c r="AB191" s="199" t="s">
        <v>456</v>
      </c>
      <c r="AC191" s="199">
        <v>124.85</v>
      </c>
      <c r="AD191" s="199" t="s">
        <v>207</v>
      </c>
      <c r="AE191" s="199">
        <f>14.13+22.8</f>
        <v>36.93</v>
      </c>
      <c r="AF191" s="199" t="s">
        <v>207</v>
      </c>
      <c r="AG191" s="199">
        <f>23.08</f>
        <v>23.08</v>
      </c>
      <c r="AH191" s="199" t="s">
        <v>207</v>
      </c>
      <c r="AI191" s="199">
        <v>21.34</v>
      </c>
      <c r="AJ191" s="199" t="s">
        <v>207</v>
      </c>
      <c r="AK191" s="199">
        <v>21.76</v>
      </c>
      <c r="AL191" s="199" t="s">
        <v>207</v>
      </c>
      <c r="AM191" s="199">
        <v>24.83</v>
      </c>
      <c r="AN191" s="199" t="s">
        <v>207</v>
      </c>
      <c r="AO191" s="199">
        <v>127.71</v>
      </c>
      <c r="AP191" s="199" t="s">
        <v>207</v>
      </c>
      <c r="AQ191" s="199">
        <v>113.27</v>
      </c>
      <c r="AR191" s="199" t="s">
        <v>207</v>
      </c>
      <c r="AS191" s="199">
        <v>167.98</v>
      </c>
      <c r="AT191" s="199" t="s">
        <v>207</v>
      </c>
      <c r="AU191" s="199">
        <f t="shared" si="20"/>
        <v>1095.54</v>
      </c>
      <c r="AV191" s="199">
        <v>0.7</v>
      </c>
      <c r="AW191" s="199" t="s">
        <v>438</v>
      </c>
      <c r="AX191" s="204" t="s">
        <v>296</v>
      </c>
      <c r="AY191" s="199">
        <v>1</v>
      </c>
      <c r="AZ191" s="199" t="s">
        <v>440</v>
      </c>
    </row>
    <row r="192" spans="1:52" s="208" customFormat="1" ht="15" customHeight="1" x14ac:dyDescent="0.3">
      <c r="A192" s="114">
        <v>181</v>
      </c>
      <c r="B192" s="174" t="s">
        <v>759</v>
      </c>
      <c r="C192" s="173" t="s">
        <v>435</v>
      </c>
      <c r="D192" s="196" t="s">
        <v>288</v>
      </c>
      <c r="E192" s="196" t="s">
        <v>205</v>
      </c>
      <c r="F192" s="173" t="s">
        <v>447</v>
      </c>
      <c r="G192" s="197" t="s">
        <v>145</v>
      </c>
      <c r="H192" s="198" t="s">
        <v>146</v>
      </c>
      <c r="I192" s="199">
        <v>2</v>
      </c>
      <c r="J192" s="200" t="s">
        <v>437</v>
      </c>
      <c r="K192" s="201">
        <v>50</v>
      </c>
      <c r="L192" s="202">
        <v>8</v>
      </c>
      <c r="M192" s="200" t="s">
        <v>438</v>
      </c>
      <c r="N192" s="200" t="s">
        <v>218</v>
      </c>
      <c r="O192" s="200" t="s">
        <v>219</v>
      </c>
      <c r="P192" s="200" t="s">
        <v>218</v>
      </c>
      <c r="Q192" s="200" t="s">
        <v>219</v>
      </c>
      <c r="R192" s="200" t="s">
        <v>208</v>
      </c>
      <c r="S192" s="200" t="s">
        <v>219</v>
      </c>
      <c r="T192" s="200"/>
      <c r="U192" s="199"/>
      <c r="V192" s="199">
        <v>3895.75</v>
      </c>
      <c r="W192" s="199">
        <v>480.99</v>
      </c>
      <c r="X192" s="199" t="s">
        <v>456</v>
      </c>
      <c r="Y192" s="199">
        <v>480.99</v>
      </c>
      <c r="Z192" s="199" t="s">
        <v>456</v>
      </c>
      <c r="AA192" s="196">
        <v>633.66999999999996</v>
      </c>
      <c r="AB192" s="196" t="s">
        <v>207</v>
      </c>
      <c r="AC192" s="196">
        <v>410.42</v>
      </c>
      <c r="AD192" s="196" t="s">
        <v>207</v>
      </c>
      <c r="AE192" s="196">
        <v>140.25</v>
      </c>
      <c r="AF192" s="196" t="s">
        <v>207</v>
      </c>
      <c r="AG192" s="196">
        <v>102.12</v>
      </c>
      <c r="AH192" s="196" t="s">
        <v>207</v>
      </c>
      <c r="AI192" s="196">
        <v>91.05</v>
      </c>
      <c r="AJ192" s="196" t="s">
        <v>207</v>
      </c>
      <c r="AK192" s="196">
        <v>91.3</v>
      </c>
      <c r="AL192" s="196" t="s">
        <v>207</v>
      </c>
      <c r="AM192" s="196">
        <v>115.05</v>
      </c>
      <c r="AN192" s="196" t="s">
        <v>207</v>
      </c>
      <c r="AO192" s="196">
        <v>417.46</v>
      </c>
      <c r="AP192" s="196" t="s">
        <v>207</v>
      </c>
      <c r="AQ192" s="196">
        <v>379.86</v>
      </c>
      <c r="AR192" s="196" t="s">
        <v>207</v>
      </c>
      <c r="AS192" s="196">
        <v>490.06</v>
      </c>
      <c r="AT192" s="196" t="s">
        <v>207</v>
      </c>
      <c r="AU192" s="196">
        <f t="shared" si="20"/>
        <v>3833.2200000000007</v>
      </c>
      <c r="AV192" s="199">
        <v>2.06</v>
      </c>
      <c r="AW192" s="196" t="s">
        <v>438</v>
      </c>
      <c r="AX192" s="173" t="s">
        <v>296</v>
      </c>
      <c r="AY192" s="196">
        <v>2</v>
      </c>
      <c r="AZ192" s="196" t="s">
        <v>440</v>
      </c>
    </row>
    <row r="193" spans="1:52" s="208" customFormat="1" ht="15" customHeight="1" x14ac:dyDescent="0.3">
      <c r="A193" s="114">
        <v>182</v>
      </c>
      <c r="B193" s="174" t="s">
        <v>760</v>
      </c>
      <c r="C193" s="204" t="s">
        <v>435</v>
      </c>
      <c r="D193" s="199" t="s">
        <v>288</v>
      </c>
      <c r="E193" s="199" t="s">
        <v>205</v>
      </c>
      <c r="F193" s="204" t="s">
        <v>447</v>
      </c>
      <c r="G193" s="197" t="s">
        <v>145</v>
      </c>
      <c r="H193" s="198" t="s">
        <v>146</v>
      </c>
      <c r="I193" s="199">
        <v>4</v>
      </c>
      <c r="J193" s="198" t="s">
        <v>437</v>
      </c>
      <c r="K193" s="198">
        <v>50</v>
      </c>
      <c r="L193" s="229">
        <v>8.14</v>
      </c>
      <c r="M193" s="198" t="s">
        <v>438</v>
      </c>
      <c r="N193" s="198" t="s">
        <v>218</v>
      </c>
      <c r="O193" s="198" t="s">
        <v>219</v>
      </c>
      <c r="P193" s="198" t="s">
        <v>218</v>
      </c>
      <c r="Q193" s="198" t="s">
        <v>219</v>
      </c>
      <c r="R193" s="198" t="s">
        <v>208</v>
      </c>
      <c r="S193" s="198" t="s">
        <v>219</v>
      </c>
      <c r="T193" s="204" t="s">
        <v>502</v>
      </c>
      <c r="U193" s="199">
        <v>6924.58</v>
      </c>
      <c r="V193" s="199">
        <v>6698.8</v>
      </c>
      <c r="W193" s="199">
        <v>1169.99</v>
      </c>
      <c r="X193" s="199" t="s">
        <v>207</v>
      </c>
      <c r="Y193" s="199">
        <v>821.17</v>
      </c>
      <c r="Z193" s="199" t="s">
        <v>207</v>
      </c>
      <c r="AA193" s="199">
        <v>1004.09</v>
      </c>
      <c r="AB193" s="199" t="s">
        <v>207</v>
      </c>
      <c r="AC193" s="199">
        <v>641.08000000000004</v>
      </c>
      <c r="AD193" s="199" t="s">
        <v>207</v>
      </c>
      <c r="AE193" s="199">
        <v>285.17</v>
      </c>
      <c r="AF193" s="199" t="s">
        <v>207</v>
      </c>
      <c r="AG193" s="199">
        <v>154.91999999999999</v>
      </c>
      <c r="AH193" s="199" t="s">
        <v>207</v>
      </c>
      <c r="AI193" s="199">
        <v>142.04</v>
      </c>
      <c r="AJ193" s="199" t="s">
        <v>207</v>
      </c>
      <c r="AK193" s="199">
        <v>143.69</v>
      </c>
      <c r="AL193" s="199" t="s">
        <v>207</v>
      </c>
      <c r="AM193" s="199">
        <v>190.56</v>
      </c>
      <c r="AN193" s="199" t="s">
        <v>207</v>
      </c>
      <c r="AO193" s="199">
        <v>728.74</v>
      </c>
      <c r="AP193" s="199" t="s">
        <v>207</v>
      </c>
      <c r="AQ193" s="199">
        <v>684.17</v>
      </c>
      <c r="AR193" s="199" t="s">
        <v>207</v>
      </c>
      <c r="AS193" s="199">
        <v>857.97</v>
      </c>
      <c r="AT193" s="199" t="s">
        <v>207</v>
      </c>
      <c r="AU193" s="199">
        <f t="shared" si="20"/>
        <v>6823.59</v>
      </c>
      <c r="AV193" s="199">
        <v>3.96</v>
      </c>
      <c r="AW193" s="199" t="s">
        <v>438</v>
      </c>
      <c r="AX193" s="204" t="s">
        <v>296</v>
      </c>
      <c r="AY193" s="199">
        <v>4</v>
      </c>
      <c r="AZ193" s="199" t="s">
        <v>440</v>
      </c>
    </row>
    <row r="194" spans="1:52" s="208" customFormat="1" ht="15" customHeight="1" x14ac:dyDescent="0.3">
      <c r="A194" s="114">
        <v>183</v>
      </c>
      <c r="B194" s="174" t="s">
        <v>761</v>
      </c>
      <c r="C194" s="196" t="s">
        <v>435</v>
      </c>
      <c r="D194" s="196" t="s">
        <v>288</v>
      </c>
      <c r="E194" s="196" t="s">
        <v>205</v>
      </c>
      <c r="F194" s="196" t="s">
        <v>447</v>
      </c>
      <c r="G194" s="197" t="s">
        <v>145</v>
      </c>
      <c r="H194" s="198" t="s">
        <v>146</v>
      </c>
      <c r="I194" s="199">
        <v>1</v>
      </c>
      <c r="J194" s="200" t="s">
        <v>437</v>
      </c>
      <c r="K194" s="201">
        <v>80</v>
      </c>
      <c r="L194" s="202">
        <v>8.14</v>
      </c>
      <c r="M194" s="200" t="s">
        <v>438</v>
      </c>
      <c r="N194" s="200" t="s">
        <v>218</v>
      </c>
      <c r="O194" s="200" t="s">
        <v>219</v>
      </c>
      <c r="P194" s="200" t="s">
        <v>218</v>
      </c>
      <c r="Q194" s="200" t="s">
        <v>219</v>
      </c>
      <c r="R194" s="200" t="s">
        <v>296</v>
      </c>
      <c r="S194" s="200" t="s">
        <v>219</v>
      </c>
      <c r="T194" s="200" t="s">
        <v>444</v>
      </c>
      <c r="U194" s="207">
        <v>3021.55</v>
      </c>
      <c r="V194" s="207">
        <v>3080.39</v>
      </c>
      <c r="W194" s="196">
        <v>525.9</v>
      </c>
      <c r="X194" s="196" t="s">
        <v>207</v>
      </c>
      <c r="Y194" s="196">
        <v>312.52</v>
      </c>
      <c r="Z194" s="196" t="s">
        <v>207</v>
      </c>
      <c r="AA194" s="196">
        <v>437.25</v>
      </c>
      <c r="AB194" s="196" t="s">
        <v>207</v>
      </c>
      <c r="AC194" s="196">
        <v>283.45</v>
      </c>
      <c r="AD194" s="196" t="s">
        <v>207</v>
      </c>
      <c r="AE194" s="196">
        <v>133.94999999999999</v>
      </c>
      <c r="AF194" s="196" t="s">
        <v>207</v>
      </c>
      <c r="AG194" s="196">
        <v>77</v>
      </c>
      <c r="AH194" s="196" t="s">
        <v>207</v>
      </c>
      <c r="AI194" s="196">
        <v>70.45</v>
      </c>
      <c r="AJ194" s="196" t="s">
        <v>207</v>
      </c>
      <c r="AK194" s="196">
        <v>69.12</v>
      </c>
      <c r="AL194" s="196" t="s">
        <v>207</v>
      </c>
      <c r="AM194" s="196">
        <v>89.99</v>
      </c>
      <c r="AN194" s="196" t="s">
        <v>207</v>
      </c>
      <c r="AO194" s="196">
        <v>318.05</v>
      </c>
      <c r="AP194" s="196" t="s">
        <v>207</v>
      </c>
      <c r="AQ194" s="196">
        <v>281.31</v>
      </c>
      <c r="AR194" s="196" t="s">
        <v>207</v>
      </c>
      <c r="AS194" s="196">
        <v>375.39</v>
      </c>
      <c r="AT194" s="196" t="s">
        <v>207</v>
      </c>
      <c r="AU194" s="196">
        <f t="shared" si="20"/>
        <v>2974.38</v>
      </c>
      <c r="AV194" s="199">
        <v>1.84</v>
      </c>
      <c r="AW194" s="196" t="s">
        <v>438</v>
      </c>
      <c r="AX194" s="196" t="s">
        <v>296</v>
      </c>
      <c r="AY194" s="196">
        <v>1</v>
      </c>
      <c r="AZ194" s="196" t="s">
        <v>440</v>
      </c>
    </row>
    <row r="195" spans="1:52" s="208" customFormat="1" ht="15" customHeight="1" x14ac:dyDescent="0.3">
      <c r="A195" s="73">
        <v>184</v>
      </c>
      <c r="B195" s="174" t="s">
        <v>762</v>
      </c>
      <c r="C195" s="173" t="s">
        <v>435</v>
      </c>
      <c r="D195" s="196" t="s">
        <v>288</v>
      </c>
      <c r="E195" s="196" t="s">
        <v>205</v>
      </c>
      <c r="F195" s="173" t="s">
        <v>447</v>
      </c>
      <c r="G195" s="197" t="s">
        <v>145</v>
      </c>
      <c r="H195" s="198" t="s">
        <v>146</v>
      </c>
      <c r="I195" s="199">
        <v>1</v>
      </c>
      <c r="J195" s="200" t="s">
        <v>437</v>
      </c>
      <c r="K195" s="201">
        <v>80</v>
      </c>
      <c r="L195" s="202">
        <v>7.93</v>
      </c>
      <c r="M195" s="200" t="s">
        <v>438</v>
      </c>
      <c r="N195" s="200" t="s">
        <v>218</v>
      </c>
      <c r="O195" s="200" t="s">
        <v>219</v>
      </c>
      <c r="P195" s="200" t="s">
        <v>218</v>
      </c>
      <c r="Q195" s="200" t="s">
        <v>219</v>
      </c>
      <c r="R195" s="200" t="s">
        <v>208</v>
      </c>
      <c r="S195" s="200" t="s">
        <v>219</v>
      </c>
      <c r="T195" s="200"/>
      <c r="U195" s="199">
        <v>3211.09</v>
      </c>
      <c r="V195" s="199">
        <v>3433.95</v>
      </c>
      <c r="W195" s="223">
        <v>613.83000000000004</v>
      </c>
      <c r="X195" s="196" t="s">
        <v>207</v>
      </c>
      <c r="Y195" s="223">
        <v>329.36</v>
      </c>
      <c r="Z195" s="196" t="s">
        <v>207</v>
      </c>
      <c r="AA195" s="196">
        <v>447.85</v>
      </c>
      <c r="AB195" s="196" t="s">
        <v>207</v>
      </c>
      <c r="AC195" s="196">
        <v>271.18</v>
      </c>
      <c r="AD195" s="196" t="s">
        <v>207</v>
      </c>
      <c r="AE195" s="196">
        <v>129.51</v>
      </c>
      <c r="AF195" s="196" t="s">
        <v>207</v>
      </c>
      <c r="AG195" s="199">
        <v>77.97</v>
      </c>
      <c r="AH195" s="199" t="s">
        <v>456</v>
      </c>
      <c r="AI195" s="199">
        <v>77.97</v>
      </c>
      <c r="AJ195" s="199" t="s">
        <v>456</v>
      </c>
      <c r="AK195" s="199">
        <v>44.4</v>
      </c>
      <c r="AL195" s="199" t="s">
        <v>456</v>
      </c>
      <c r="AM195" s="199">
        <v>102.86</v>
      </c>
      <c r="AN195" s="199" t="s">
        <v>456</v>
      </c>
      <c r="AO195" s="196">
        <v>349.69</v>
      </c>
      <c r="AP195" s="196" t="s">
        <v>207</v>
      </c>
      <c r="AQ195" s="196">
        <v>341.57</v>
      </c>
      <c r="AR195" s="196" t="s">
        <v>207</v>
      </c>
      <c r="AS195" s="196">
        <v>374.31</v>
      </c>
      <c r="AT195" s="196" t="s">
        <v>207</v>
      </c>
      <c r="AU195" s="196">
        <f t="shared" si="20"/>
        <v>3160.5000000000005</v>
      </c>
      <c r="AV195" s="199">
        <v>1.83</v>
      </c>
      <c r="AW195" s="196" t="s">
        <v>438</v>
      </c>
      <c r="AX195" s="173" t="s">
        <v>296</v>
      </c>
      <c r="AY195" s="196">
        <v>1</v>
      </c>
      <c r="AZ195" s="196" t="s">
        <v>440</v>
      </c>
    </row>
    <row r="196" spans="1:52" s="208" customFormat="1" ht="15" customHeight="1" x14ac:dyDescent="0.3">
      <c r="A196" s="114">
        <v>185</v>
      </c>
      <c r="B196" s="174" t="s">
        <v>763</v>
      </c>
      <c r="C196" s="173" t="s">
        <v>435</v>
      </c>
      <c r="D196" s="196" t="s">
        <v>288</v>
      </c>
      <c r="E196" s="196" t="s">
        <v>205</v>
      </c>
      <c r="F196" s="173" t="s">
        <v>447</v>
      </c>
      <c r="G196" s="197" t="s">
        <v>145</v>
      </c>
      <c r="H196" s="198" t="s">
        <v>146</v>
      </c>
      <c r="I196" s="199">
        <v>2</v>
      </c>
      <c r="J196" s="200" t="s">
        <v>437</v>
      </c>
      <c r="K196" s="201">
        <v>50</v>
      </c>
      <c r="L196" s="202">
        <v>8</v>
      </c>
      <c r="M196" s="200" t="s">
        <v>438</v>
      </c>
      <c r="N196" s="200" t="s">
        <v>218</v>
      </c>
      <c r="O196" s="200" t="s">
        <v>219</v>
      </c>
      <c r="P196" s="200" t="s">
        <v>218</v>
      </c>
      <c r="Q196" s="200" t="s">
        <v>219</v>
      </c>
      <c r="R196" s="200" t="s">
        <v>208</v>
      </c>
      <c r="S196" s="200" t="s">
        <v>219</v>
      </c>
      <c r="T196" s="173" t="s">
        <v>503</v>
      </c>
      <c r="U196" s="199">
        <v>4254.5200000000004</v>
      </c>
      <c r="V196" s="199">
        <f>1519.96+2286.04</f>
        <v>3806</v>
      </c>
      <c r="W196" s="196">
        <v>690.82</v>
      </c>
      <c r="X196" s="196" t="s">
        <v>207</v>
      </c>
      <c r="Y196" s="196">
        <v>449.11</v>
      </c>
      <c r="Z196" s="196" t="s">
        <v>207</v>
      </c>
      <c r="AA196" s="196">
        <v>576.85</v>
      </c>
      <c r="AB196" s="196" t="s">
        <v>207</v>
      </c>
      <c r="AC196" s="196">
        <v>398.54</v>
      </c>
      <c r="AD196" s="196" t="s">
        <v>207</v>
      </c>
      <c r="AE196" s="196">
        <v>133.85</v>
      </c>
      <c r="AF196" s="196" t="s">
        <v>207</v>
      </c>
      <c r="AG196" s="196">
        <v>112.39</v>
      </c>
      <c r="AH196" s="196" t="s">
        <v>207</v>
      </c>
      <c r="AI196" s="196">
        <v>84.58</v>
      </c>
      <c r="AJ196" s="196" t="s">
        <v>207</v>
      </c>
      <c r="AK196" s="196">
        <v>92.83</v>
      </c>
      <c r="AL196" s="196" t="s">
        <v>207</v>
      </c>
      <c r="AM196" s="196">
        <v>111.42</v>
      </c>
      <c r="AN196" s="196" t="s">
        <v>207</v>
      </c>
      <c r="AO196" s="196">
        <v>434.4</v>
      </c>
      <c r="AP196" s="196" t="s">
        <v>207</v>
      </c>
      <c r="AQ196" s="196">
        <v>393.74</v>
      </c>
      <c r="AR196" s="196" t="s">
        <v>207</v>
      </c>
      <c r="AS196" s="196">
        <v>523.66</v>
      </c>
      <c r="AT196" s="196" t="s">
        <v>207</v>
      </c>
      <c r="AU196" s="196">
        <f t="shared" si="20"/>
        <v>4002.1899999999996</v>
      </c>
      <c r="AV196" s="199">
        <v>2.06</v>
      </c>
      <c r="AW196" s="196" t="s">
        <v>438</v>
      </c>
      <c r="AX196" s="173" t="s">
        <v>296</v>
      </c>
      <c r="AY196" s="196">
        <v>2</v>
      </c>
      <c r="AZ196" s="196" t="s">
        <v>440</v>
      </c>
    </row>
    <row r="197" spans="1:52" s="208" customFormat="1" ht="15" customHeight="1" x14ac:dyDescent="0.3">
      <c r="A197" s="114">
        <v>186</v>
      </c>
      <c r="B197" s="174" t="s">
        <v>764</v>
      </c>
      <c r="C197" s="173" t="s">
        <v>435</v>
      </c>
      <c r="D197" s="196" t="s">
        <v>288</v>
      </c>
      <c r="E197" s="196" t="s">
        <v>205</v>
      </c>
      <c r="F197" s="173" t="s">
        <v>447</v>
      </c>
      <c r="G197" s="197" t="s">
        <v>145</v>
      </c>
      <c r="H197" s="198" t="s">
        <v>146</v>
      </c>
      <c r="I197" s="199">
        <v>1</v>
      </c>
      <c r="J197" s="200" t="s">
        <v>437</v>
      </c>
      <c r="K197" s="201">
        <v>50</v>
      </c>
      <c r="L197" s="202">
        <v>7.93</v>
      </c>
      <c r="M197" s="200" t="s">
        <v>438</v>
      </c>
      <c r="N197" s="200" t="s">
        <v>218</v>
      </c>
      <c r="O197" s="200" t="s">
        <v>219</v>
      </c>
      <c r="P197" s="200" t="s">
        <v>218</v>
      </c>
      <c r="Q197" s="200" t="s">
        <v>219</v>
      </c>
      <c r="R197" s="200" t="s">
        <v>208</v>
      </c>
      <c r="S197" s="200" t="s">
        <v>219</v>
      </c>
      <c r="T197" s="200"/>
      <c r="U197" s="199">
        <v>1309.32</v>
      </c>
      <c r="V197" s="199">
        <v>1301.0999999999999</v>
      </c>
      <c r="W197" s="199">
        <v>170.72</v>
      </c>
      <c r="X197" s="199" t="s">
        <v>456</v>
      </c>
      <c r="Y197" s="199">
        <v>169.74</v>
      </c>
      <c r="Z197" s="199" t="s">
        <v>456</v>
      </c>
      <c r="AA197" s="199">
        <v>189.45</v>
      </c>
      <c r="AB197" s="199" t="s">
        <v>207</v>
      </c>
      <c r="AC197" s="196">
        <v>148.74</v>
      </c>
      <c r="AD197" s="196" t="s">
        <v>207</v>
      </c>
      <c r="AE197" s="196">
        <v>59.73</v>
      </c>
      <c r="AF197" s="196" t="s">
        <v>207</v>
      </c>
      <c r="AG197" s="196">
        <v>33.979999999999997</v>
      </c>
      <c r="AH197" s="196" t="s">
        <v>207</v>
      </c>
      <c r="AI197" s="196">
        <v>29.95</v>
      </c>
      <c r="AJ197" s="196" t="s">
        <v>207</v>
      </c>
      <c r="AK197" s="196">
        <v>30.45</v>
      </c>
      <c r="AL197" s="196" t="s">
        <v>207</v>
      </c>
      <c r="AM197" s="196">
        <v>37.97</v>
      </c>
      <c r="AN197" s="196" t="s">
        <v>207</v>
      </c>
      <c r="AO197" s="196">
        <v>143.86000000000001</v>
      </c>
      <c r="AP197" s="196" t="s">
        <v>207</v>
      </c>
      <c r="AQ197" s="196">
        <v>115.04</v>
      </c>
      <c r="AR197" s="196" t="s">
        <v>207</v>
      </c>
      <c r="AS197" s="196">
        <v>160.22999999999999</v>
      </c>
      <c r="AT197" s="196" t="s">
        <v>207</v>
      </c>
      <c r="AU197" s="196">
        <f t="shared" si="20"/>
        <v>1289.8600000000004</v>
      </c>
      <c r="AV197" s="199">
        <v>0.62</v>
      </c>
      <c r="AW197" s="196" t="s">
        <v>438</v>
      </c>
      <c r="AX197" s="173" t="s">
        <v>296</v>
      </c>
      <c r="AY197" s="196">
        <v>1</v>
      </c>
      <c r="AZ197" s="196" t="s">
        <v>440</v>
      </c>
    </row>
    <row r="198" spans="1:52" s="208" customFormat="1" ht="15" customHeight="1" x14ac:dyDescent="0.3">
      <c r="A198" s="114">
        <v>187</v>
      </c>
      <c r="B198" s="174" t="s">
        <v>765</v>
      </c>
      <c r="C198" s="173" t="s">
        <v>435</v>
      </c>
      <c r="D198" s="196" t="s">
        <v>288</v>
      </c>
      <c r="E198" s="196" t="s">
        <v>205</v>
      </c>
      <c r="F198" s="173" t="s">
        <v>447</v>
      </c>
      <c r="G198" s="197" t="s">
        <v>145</v>
      </c>
      <c r="H198" s="198" t="s">
        <v>146</v>
      </c>
      <c r="I198" s="199">
        <v>1</v>
      </c>
      <c r="J198" s="200" t="s">
        <v>437</v>
      </c>
      <c r="K198" s="201">
        <v>50</v>
      </c>
      <c r="L198" s="202">
        <v>7.93</v>
      </c>
      <c r="M198" s="200" t="s">
        <v>438</v>
      </c>
      <c r="N198" s="200" t="s">
        <v>218</v>
      </c>
      <c r="O198" s="200" t="s">
        <v>219</v>
      </c>
      <c r="P198" s="200" t="s">
        <v>218</v>
      </c>
      <c r="Q198" s="200" t="s">
        <v>219</v>
      </c>
      <c r="R198" s="200" t="s">
        <v>208</v>
      </c>
      <c r="S198" s="200" t="s">
        <v>219</v>
      </c>
      <c r="T198" s="173" t="s">
        <v>504</v>
      </c>
      <c r="U198" s="199"/>
      <c r="V198" s="199">
        <v>640.02</v>
      </c>
      <c r="W198" s="199">
        <v>233.24</v>
      </c>
      <c r="X198" s="199" t="s">
        <v>207</v>
      </c>
      <c r="Y198" s="199">
        <v>160.46</v>
      </c>
      <c r="Z198" s="199" t="s">
        <v>207</v>
      </c>
      <c r="AA198" s="199">
        <v>184.2</v>
      </c>
      <c r="AB198" s="199" t="s">
        <v>207</v>
      </c>
      <c r="AC198" s="196">
        <v>121.06</v>
      </c>
      <c r="AD198" s="196" t="s">
        <v>207</v>
      </c>
      <c r="AE198" s="196">
        <v>56.23</v>
      </c>
      <c r="AF198" s="196" t="s">
        <v>207</v>
      </c>
      <c r="AG198" s="196">
        <v>35.700000000000003</v>
      </c>
      <c r="AH198" s="196" t="s">
        <v>207</v>
      </c>
      <c r="AI198" s="196">
        <v>33.409999999999997</v>
      </c>
      <c r="AJ198" s="196" t="s">
        <v>207</v>
      </c>
      <c r="AK198" s="196">
        <v>33.18</v>
      </c>
      <c r="AL198" s="196" t="s">
        <v>207</v>
      </c>
      <c r="AM198" s="196">
        <v>42.11</v>
      </c>
      <c r="AN198" s="196" t="s">
        <v>207</v>
      </c>
      <c r="AO198" s="196">
        <v>137.96</v>
      </c>
      <c r="AP198" s="196" t="s">
        <v>207</v>
      </c>
      <c r="AQ198" s="196">
        <v>121.74</v>
      </c>
      <c r="AR198" s="196" t="s">
        <v>207</v>
      </c>
      <c r="AS198" s="196">
        <v>158.66999999999999</v>
      </c>
      <c r="AT198" s="196" t="s">
        <v>207</v>
      </c>
      <c r="AU198" s="196">
        <f t="shared" si="20"/>
        <v>1317.96</v>
      </c>
      <c r="AV198" s="199">
        <v>0.62</v>
      </c>
      <c r="AW198" s="196" t="s">
        <v>438</v>
      </c>
      <c r="AX198" s="173" t="s">
        <v>296</v>
      </c>
      <c r="AY198" s="196">
        <v>1</v>
      </c>
      <c r="AZ198" s="196" t="s">
        <v>440</v>
      </c>
    </row>
    <row r="199" spans="1:52" s="208" customFormat="1" ht="15" customHeight="1" x14ac:dyDescent="0.3">
      <c r="A199" s="73">
        <v>188</v>
      </c>
      <c r="B199" s="174" t="s">
        <v>766</v>
      </c>
      <c r="C199" s="173" t="s">
        <v>435</v>
      </c>
      <c r="D199" s="196" t="s">
        <v>288</v>
      </c>
      <c r="E199" s="196" t="s">
        <v>205</v>
      </c>
      <c r="F199" s="173" t="s">
        <v>447</v>
      </c>
      <c r="G199" s="197" t="s">
        <v>145</v>
      </c>
      <c r="H199" s="198" t="s">
        <v>146</v>
      </c>
      <c r="I199" s="199">
        <v>1</v>
      </c>
      <c r="J199" s="200" t="s">
        <v>437</v>
      </c>
      <c r="K199" s="201">
        <v>32</v>
      </c>
      <c r="L199" s="202">
        <v>7.93</v>
      </c>
      <c r="M199" s="200" t="s">
        <v>438</v>
      </c>
      <c r="N199" s="200" t="s">
        <v>218</v>
      </c>
      <c r="O199" s="200" t="s">
        <v>219</v>
      </c>
      <c r="P199" s="200" t="s">
        <v>218</v>
      </c>
      <c r="Q199" s="200" t="s">
        <v>219</v>
      </c>
      <c r="R199" s="200" t="s">
        <v>208</v>
      </c>
      <c r="S199" s="200" t="s">
        <v>219</v>
      </c>
      <c r="T199" s="200"/>
      <c r="U199" s="199">
        <v>688.28</v>
      </c>
      <c r="V199" s="199">
        <v>665.32</v>
      </c>
      <c r="W199" s="199">
        <v>70.94</v>
      </c>
      <c r="X199" s="199" t="s">
        <v>456</v>
      </c>
      <c r="Y199" s="199">
        <v>70.94</v>
      </c>
      <c r="Z199" s="199" t="s">
        <v>456</v>
      </c>
      <c r="AA199" s="199">
        <v>65.73</v>
      </c>
      <c r="AB199" s="199" t="s">
        <v>456</v>
      </c>
      <c r="AC199" s="196">
        <v>61.59</v>
      </c>
      <c r="AD199" s="196" t="s">
        <v>207</v>
      </c>
      <c r="AE199" s="196">
        <v>23.55</v>
      </c>
      <c r="AF199" s="196" t="s">
        <v>207</v>
      </c>
      <c r="AG199" s="196">
        <v>14.4</v>
      </c>
      <c r="AH199" s="196" t="s">
        <v>207</v>
      </c>
      <c r="AI199" s="196">
        <v>11.35</v>
      </c>
      <c r="AJ199" s="196" t="s">
        <v>207</v>
      </c>
      <c r="AK199" s="196">
        <v>12.45</v>
      </c>
      <c r="AL199" s="196" t="s">
        <v>207</v>
      </c>
      <c r="AM199" s="196">
        <v>15.87</v>
      </c>
      <c r="AN199" s="196" t="s">
        <v>207</v>
      </c>
      <c r="AO199" s="196">
        <v>75.959999999999994</v>
      </c>
      <c r="AP199" s="196" t="s">
        <v>207</v>
      </c>
      <c r="AQ199" s="196">
        <v>54.57</v>
      </c>
      <c r="AR199" s="196" t="s">
        <v>207</v>
      </c>
      <c r="AS199" s="196">
        <v>80.47</v>
      </c>
      <c r="AT199" s="196" t="s">
        <v>207</v>
      </c>
      <c r="AU199" s="196">
        <f t="shared" si="20"/>
        <v>557.82000000000005</v>
      </c>
      <c r="AV199" s="199">
        <v>0.36</v>
      </c>
      <c r="AW199" s="196" t="s">
        <v>438</v>
      </c>
      <c r="AX199" s="173" t="s">
        <v>296</v>
      </c>
      <c r="AY199" s="196">
        <v>1</v>
      </c>
      <c r="AZ199" s="196" t="s">
        <v>440</v>
      </c>
    </row>
    <row r="200" spans="1:52" s="208" customFormat="1" ht="15" customHeight="1" x14ac:dyDescent="0.3">
      <c r="A200" s="114">
        <v>189</v>
      </c>
      <c r="B200" s="174" t="s">
        <v>767</v>
      </c>
      <c r="C200" s="173" t="s">
        <v>435</v>
      </c>
      <c r="D200" s="196" t="s">
        <v>288</v>
      </c>
      <c r="E200" s="196" t="s">
        <v>205</v>
      </c>
      <c r="F200" s="173" t="s">
        <v>447</v>
      </c>
      <c r="G200" s="197" t="s">
        <v>145</v>
      </c>
      <c r="H200" s="198" t="s">
        <v>146</v>
      </c>
      <c r="I200" s="199">
        <v>1</v>
      </c>
      <c r="J200" s="200" t="s">
        <v>437</v>
      </c>
      <c r="K200" s="201">
        <v>80</v>
      </c>
      <c r="L200" s="202">
        <v>7.93</v>
      </c>
      <c r="M200" s="200" t="s">
        <v>438</v>
      </c>
      <c r="N200" s="200" t="s">
        <v>218</v>
      </c>
      <c r="O200" s="200" t="s">
        <v>219</v>
      </c>
      <c r="P200" s="200" t="s">
        <v>218</v>
      </c>
      <c r="Q200" s="200" t="s">
        <v>219</v>
      </c>
      <c r="R200" s="200" t="s">
        <v>208</v>
      </c>
      <c r="S200" s="200" t="s">
        <v>219</v>
      </c>
      <c r="T200" s="200"/>
      <c r="U200" s="199">
        <v>3383.17</v>
      </c>
      <c r="V200" s="199">
        <v>3121.95</v>
      </c>
      <c r="W200" s="196">
        <v>531.4</v>
      </c>
      <c r="X200" s="196" t="s">
        <v>207</v>
      </c>
      <c r="Y200" s="196">
        <v>330.45</v>
      </c>
      <c r="Z200" s="196" t="s">
        <v>207</v>
      </c>
      <c r="AA200" s="196">
        <v>425.54</v>
      </c>
      <c r="AB200" s="196" t="s">
        <v>207</v>
      </c>
      <c r="AC200" s="196">
        <v>286.73</v>
      </c>
      <c r="AD200" s="196" t="s">
        <v>207</v>
      </c>
      <c r="AE200" s="196">
        <v>107.97</v>
      </c>
      <c r="AF200" s="196" t="s">
        <v>207</v>
      </c>
      <c r="AG200" s="196">
        <v>74.34</v>
      </c>
      <c r="AH200" s="196" t="s">
        <v>207</v>
      </c>
      <c r="AI200" s="196">
        <v>70.14</v>
      </c>
      <c r="AJ200" s="196" t="s">
        <v>207</v>
      </c>
      <c r="AK200" s="196">
        <v>60.3</v>
      </c>
      <c r="AL200" s="196" t="s">
        <v>207</v>
      </c>
      <c r="AM200" s="196">
        <v>87.21</v>
      </c>
      <c r="AN200" s="196" t="s">
        <v>207</v>
      </c>
      <c r="AO200" s="196">
        <v>317.60000000000002</v>
      </c>
      <c r="AP200" s="196" t="s">
        <v>207</v>
      </c>
      <c r="AQ200" s="196">
        <v>285.05</v>
      </c>
      <c r="AR200" s="196" t="s">
        <v>207</v>
      </c>
      <c r="AS200" s="196">
        <v>351.8</v>
      </c>
      <c r="AT200" s="196" t="s">
        <v>207</v>
      </c>
      <c r="AU200" s="196">
        <f t="shared" si="20"/>
        <v>2928.53</v>
      </c>
      <c r="AV200" s="199">
        <v>1.83</v>
      </c>
      <c r="AW200" s="196" t="s">
        <v>438</v>
      </c>
      <c r="AX200" s="173" t="s">
        <v>296</v>
      </c>
      <c r="AY200" s="196">
        <v>1</v>
      </c>
      <c r="AZ200" s="196" t="s">
        <v>440</v>
      </c>
    </row>
    <row r="201" spans="1:52" s="221" customFormat="1" ht="15" customHeight="1" x14ac:dyDescent="0.3">
      <c r="A201" s="114">
        <v>190</v>
      </c>
      <c r="B201" s="174" t="s">
        <v>768</v>
      </c>
      <c r="C201" s="173" t="s">
        <v>435</v>
      </c>
      <c r="D201" s="196" t="s">
        <v>288</v>
      </c>
      <c r="E201" s="196" t="s">
        <v>205</v>
      </c>
      <c r="F201" s="173" t="s">
        <v>447</v>
      </c>
      <c r="G201" s="197" t="s">
        <v>145</v>
      </c>
      <c r="H201" s="198" t="s">
        <v>146</v>
      </c>
      <c r="I201" s="199">
        <v>4</v>
      </c>
      <c r="J201" s="200" t="s">
        <v>437</v>
      </c>
      <c r="K201" s="201">
        <v>50</v>
      </c>
      <c r="L201" s="202">
        <v>8.1</v>
      </c>
      <c r="M201" s="200" t="s">
        <v>438</v>
      </c>
      <c r="N201" s="200" t="s">
        <v>218</v>
      </c>
      <c r="O201" s="200" t="s">
        <v>219</v>
      </c>
      <c r="P201" s="200" t="s">
        <v>218</v>
      </c>
      <c r="Q201" s="200" t="s">
        <v>219</v>
      </c>
      <c r="R201" s="200" t="s">
        <v>208</v>
      </c>
      <c r="S201" s="200" t="s">
        <v>219</v>
      </c>
      <c r="T201" s="200"/>
      <c r="U201" s="199">
        <v>7022.28</v>
      </c>
      <c r="V201" s="199">
        <v>6404.44</v>
      </c>
      <c r="W201" s="196">
        <v>1071.17</v>
      </c>
      <c r="X201" s="196" t="s">
        <v>207</v>
      </c>
      <c r="Y201" s="196">
        <v>674.84</v>
      </c>
      <c r="Z201" s="196" t="s">
        <v>207</v>
      </c>
      <c r="AA201" s="196">
        <v>900.79</v>
      </c>
      <c r="AB201" s="196" t="s">
        <v>207</v>
      </c>
      <c r="AC201" s="196">
        <v>509.48</v>
      </c>
      <c r="AD201" s="196" t="s">
        <v>207</v>
      </c>
      <c r="AE201" s="196">
        <v>204.7</v>
      </c>
      <c r="AF201" s="196" t="s">
        <v>207</v>
      </c>
      <c r="AG201" s="196">
        <v>137.62</v>
      </c>
      <c r="AH201" s="196" t="s">
        <v>207</v>
      </c>
      <c r="AI201" s="196">
        <v>131.75</v>
      </c>
      <c r="AJ201" s="196" t="s">
        <v>207</v>
      </c>
      <c r="AK201" s="199">
        <v>157.79</v>
      </c>
      <c r="AL201" s="196" t="s">
        <v>456</v>
      </c>
      <c r="AM201" s="196">
        <v>149.6</v>
      </c>
      <c r="AN201" s="196" t="s">
        <v>207</v>
      </c>
      <c r="AO201" s="196">
        <v>636.6</v>
      </c>
      <c r="AP201" s="196" t="s">
        <v>207</v>
      </c>
      <c r="AQ201" s="196">
        <v>542.13</v>
      </c>
      <c r="AR201" s="196" t="s">
        <v>207</v>
      </c>
      <c r="AS201" s="196">
        <v>745.78</v>
      </c>
      <c r="AT201" s="196" t="s">
        <v>207</v>
      </c>
      <c r="AU201" s="196">
        <f t="shared" si="20"/>
        <v>5862.25</v>
      </c>
      <c r="AV201" s="199">
        <v>3.76</v>
      </c>
      <c r="AW201" s="196" t="s">
        <v>438</v>
      </c>
      <c r="AX201" s="173" t="s">
        <v>296</v>
      </c>
      <c r="AY201" s="196">
        <v>1</v>
      </c>
      <c r="AZ201" s="196" t="s">
        <v>440</v>
      </c>
    </row>
    <row r="202" spans="1:52" s="208" customFormat="1" ht="15" customHeight="1" x14ac:dyDescent="0.3">
      <c r="A202" s="114">
        <v>191</v>
      </c>
      <c r="B202" s="174" t="s">
        <v>769</v>
      </c>
      <c r="C202" s="173" t="s">
        <v>435</v>
      </c>
      <c r="D202" s="196" t="s">
        <v>288</v>
      </c>
      <c r="E202" s="196" t="s">
        <v>205</v>
      </c>
      <c r="F202" s="173" t="s">
        <v>447</v>
      </c>
      <c r="G202" s="197" t="s">
        <v>145</v>
      </c>
      <c r="H202" s="198" t="s">
        <v>146</v>
      </c>
      <c r="I202" s="199">
        <v>1</v>
      </c>
      <c r="J202" s="200" t="s">
        <v>437</v>
      </c>
      <c r="K202" s="201">
        <v>65</v>
      </c>
      <c r="L202" s="202">
        <v>7.93</v>
      </c>
      <c r="M202" s="200" t="s">
        <v>438</v>
      </c>
      <c r="N202" s="200" t="s">
        <v>218</v>
      </c>
      <c r="O202" s="200" t="s">
        <v>219</v>
      </c>
      <c r="P202" s="200" t="s">
        <v>218</v>
      </c>
      <c r="Q202" s="200" t="s">
        <v>219</v>
      </c>
      <c r="R202" s="200" t="s">
        <v>208</v>
      </c>
      <c r="S202" s="200" t="s">
        <v>219</v>
      </c>
      <c r="T202" s="200"/>
      <c r="U202" s="199">
        <v>3887.75</v>
      </c>
      <c r="V202" s="199">
        <v>3802.93</v>
      </c>
      <c r="W202" s="199">
        <v>505.48</v>
      </c>
      <c r="X202" s="199" t="s">
        <v>456</v>
      </c>
      <c r="Y202" s="199">
        <v>505.48</v>
      </c>
      <c r="Z202" s="199" t="s">
        <v>456</v>
      </c>
      <c r="AA202" s="199">
        <v>463.52</v>
      </c>
      <c r="AB202" s="196" t="s">
        <v>456</v>
      </c>
      <c r="AC202" s="196">
        <v>381.57</v>
      </c>
      <c r="AD202" s="196" t="s">
        <v>207</v>
      </c>
      <c r="AE202" s="196">
        <v>246.05</v>
      </c>
      <c r="AF202" s="196" t="s">
        <v>207</v>
      </c>
      <c r="AG202" s="196">
        <v>149.66999999999999</v>
      </c>
      <c r="AH202" s="196" t="s">
        <v>207</v>
      </c>
      <c r="AI202" s="196">
        <v>82.41</v>
      </c>
      <c r="AJ202" s="196" t="s">
        <v>207</v>
      </c>
      <c r="AK202" s="196">
        <v>97.24</v>
      </c>
      <c r="AL202" s="196" t="s">
        <v>207</v>
      </c>
      <c r="AM202" s="196">
        <v>117.08</v>
      </c>
      <c r="AN202" s="196" t="s">
        <v>207</v>
      </c>
      <c r="AO202" s="196">
        <v>344.3</v>
      </c>
      <c r="AP202" s="196" t="s">
        <v>207</v>
      </c>
      <c r="AQ202" s="196">
        <v>524.72</v>
      </c>
      <c r="AR202" s="196" t="s">
        <v>207</v>
      </c>
      <c r="AS202" s="196">
        <v>558.29</v>
      </c>
      <c r="AT202" s="196" t="s">
        <v>207</v>
      </c>
      <c r="AU202" s="196">
        <f t="shared" si="20"/>
        <v>3975.8099999999995</v>
      </c>
      <c r="AV202" s="199">
        <v>2.1800000000000002</v>
      </c>
      <c r="AW202" s="196" t="s">
        <v>438</v>
      </c>
      <c r="AX202" s="173" t="s">
        <v>296</v>
      </c>
      <c r="AY202" s="196">
        <v>1</v>
      </c>
      <c r="AZ202" s="196" t="s">
        <v>440</v>
      </c>
    </row>
    <row r="203" spans="1:52" s="208" customFormat="1" ht="15" customHeight="1" x14ac:dyDescent="0.3">
      <c r="A203" s="73">
        <v>192</v>
      </c>
      <c r="B203" s="174" t="s">
        <v>770</v>
      </c>
      <c r="C203" s="173" t="s">
        <v>435</v>
      </c>
      <c r="D203" s="196" t="s">
        <v>288</v>
      </c>
      <c r="E203" s="196" t="s">
        <v>205</v>
      </c>
      <c r="F203" s="173" t="s">
        <v>447</v>
      </c>
      <c r="G203" s="197" t="s">
        <v>145</v>
      </c>
      <c r="H203" s="198" t="s">
        <v>146</v>
      </c>
      <c r="I203" s="199">
        <v>1</v>
      </c>
      <c r="J203" s="200" t="s">
        <v>437</v>
      </c>
      <c r="K203" s="201">
        <v>50</v>
      </c>
      <c r="L203" s="202">
        <v>7.93</v>
      </c>
      <c r="M203" s="200" t="s">
        <v>438</v>
      </c>
      <c r="N203" s="200" t="s">
        <v>218</v>
      </c>
      <c r="O203" s="200" t="s">
        <v>219</v>
      </c>
      <c r="P203" s="200" t="s">
        <v>218</v>
      </c>
      <c r="Q203" s="200" t="s">
        <v>219</v>
      </c>
      <c r="R203" s="200" t="s">
        <v>208</v>
      </c>
      <c r="S203" s="200" t="s">
        <v>219</v>
      </c>
      <c r="T203" s="200"/>
      <c r="U203" s="199">
        <v>1138</v>
      </c>
      <c r="V203" s="199">
        <v>1118.18</v>
      </c>
      <c r="W203" s="199">
        <v>186.99</v>
      </c>
      <c r="X203" s="199" t="s">
        <v>207</v>
      </c>
      <c r="Y203" s="199">
        <v>132.81</v>
      </c>
      <c r="Z203" s="199" t="s">
        <v>207</v>
      </c>
      <c r="AA203" s="199">
        <v>178.31</v>
      </c>
      <c r="AB203" s="196" t="s">
        <v>207</v>
      </c>
      <c r="AC203" s="196">
        <v>94.02</v>
      </c>
      <c r="AD203" s="196" t="s">
        <v>207</v>
      </c>
      <c r="AE203" s="196">
        <v>44.37</v>
      </c>
      <c r="AF203" s="196" t="s">
        <v>207</v>
      </c>
      <c r="AG203" s="196">
        <v>24.53</v>
      </c>
      <c r="AH203" s="196" t="s">
        <v>207</v>
      </c>
      <c r="AI203" s="196">
        <v>24.59</v>
      </c>
      <c r="AJ203" s="196" t="s">
        <v>207</v>
      </c>
      <c r="AK203" s="196">
        <v>22.86</v>
      </c>
      <c r="AL203" s="196" t="s">
        <v>207</v>
      </c>
      <c r="AM203" s="196">
        <v>29.41</v>
      </c>
      <c r="AN203" s="196" t="s">
        <v>207</v>
      </c>
      <c r="AO203" s="196">
        <v>104.55</v>
      </c>
      <c r="AP203" s="196" t="s">
        <v>207</v>
      </c>
      <c r="AQ203" s="196">
        <v>124.5</v>
      </c>
      <c r="AR203" s="196" t="s">
        <v>207</v>
      </c>
      <c r="AS203" s="196">
        <v>129.97999999999999</v>
      </c>
      <c r="AT203" s="196" t="s">
        <v>207</v>
      </c>
      <c r="AU203" s="196">
        <f t="shared" si="20"/>
        <v>1096.9199999999998</v>
      </c>
      <c r="AV203" s="199">
        <v>0.52</v>
      </c>
      <c r="AW203" s="196" t="s">
        <v>438</v>
      </c>
      <c r="AX203" s="173" t="s">
        <v>296</v>
      </c>
      <c r="AY203" s="196">
        <v>1</v>
      </c>
      <c r="AZ203" s="196" t="s">
        <v>440</v>
      </c>
    </row>
    <row r="204" spans="1:52" s="208" customFormat="1" ht="15" customHeight="1" x14ac:dyDescent="0.3">
      <c r="A204" s="114">
        <v>193</v>
      </c>
      <c r="B204" s="174" t="s">
        <v>771</v>
      </c>
      <c r="C204" s="173" t="s">
        <v>435</v>
      </c>
      <c r="D204" s="196" t="s">
        <v>288</v>
      </c>
      <c r="E204" s="196" t="s">
        <v>205</v>
      </c>
      <c r="F204" s="173" t="s">
        <v>447</v>
      </c>
      <c r="G204" s="197" t="s">
        <v>145</v>
      </c>
      <c r="H204" s="198" t="s">
        <v>146</v>
      </c>
      <c r="I204" s="199">
        <v>1</v>
      </c>
      <c r="J204" s="200" t="s">
        <v>437</v>
      </c>
      <c r="K204" s="201">
        <v>50</v>
      </c>
      <c r="L204" s="202">
        <v>7.93</v>
      </c>
      <c r="M204" s="200" t="s">
        <v>438</v>
      </c>
      <c r="N204" s="200" t="s">
        <v>218</v>
      </c>
      <c r="O204" s="200" t="s">
        <v>219</v>
      </c>
      <c r="P204" s="200" t="s">
        <v>218</v>
      </c>
      <c r="Q204" s="200" t="s">
        <v>219</v>
      </c>
      <c r="R204" s="200" t="s">
        <v>208</v>
      </c>
      <c r="S204" s="200" t="s">
        <v>219</v>
      </c>
      <c r="T204" s="200"/>
      <c r="U204" s="199">
        <v>1180.6600000000001</v>
      </c>
      <c r="V204" s="199">
        <v>1143.53</v>
      </c>
      <c r="W204" s="199">
        <v>117.01</v>
      </c>
      <c r="X204" s="199" t="s">
        <v>456</v>
      </c>
      <c r="Y204" s="199">
        <v>117.01</v>
      </c>
      <c r="Z204" s="199" t="s">
        <v>456</v>
      </c>
      <c r="AA204" s="199">
        <v>117.01</v>
      </c>
      <c r="AB204" s="196" t="s">
        <v>456</v>
      </c>
      <c r="AC204" s="196">
        <v>112.53</v>
      </c>
      <c r="AD204" s="196" t="s">
        <v>207</v>
      </c>
      <c r="AE204" s="196">
        <v>38.96</v>
      </c>
      <c r="AF204" s="196" t="s">
        <v>207</v>
      </c>
      <c r="AG204" s="196">
        <v>27.81</v>
      </c>
      <c r="AH204" s="196" t="s">
        <v>207</v>
      </c>
      <c r="AI204" s="196">
        <v>25.88</v>
      </c>
      <c r="AJ204" s="196" t="s">
        <v>207</v>
      </c>
      <c r="AK204" s="196">
        <v>25.51</v>
      </c>
      <c r="AL204" s="196" t="s">
        <v>207</v>
      </c>
      <c r="AM204" s="196">
        <v>33.97</v>
      </c>
      <c r="AN204" s="196" t="s">
        <v>207</v>
      </c>
      <c r="AO204" s="196">
        <v>106.38</v>
      </c>
      <c r="AP204" s="196" t="s">
        <v>207</v>
      </c>
      <c r="AQ204" s="196">
        <v>128.52000000000001</v>
      </c>
      <c r="AR204" s="196" t="s">
        <v>207</v>
      </c>
      <c r="AS204" s="196">
        <v>135.5</v>
      </c>
      <c r="AT204" s="196" t="s">
        <v>207</v>
      </c>
      <c r="AU204" s="196">
        <f t="shared" si="20"/>
        <v>986.09</v>
      </c>
      <c r="AV204" s="199">
        <v>0.52</v>
      </c>
      <c r="AW204" s="196" t="s">
        <v>438</v>
      </c>
      <c r="AX204" s="173" t="s">
        <v>296</v>
      </c>
      <c r="AY204" s="196">
        <v>1</v>
      </c>
      <c r="AZ204" s="196" t="s">
        <v>440</v>
      </c>
    </row>
    <row r="205" spans="1:52" s="208" customFormat="1" ht="15" customHeight="1" x14ac:dyDescent="0.3">
      <c r="A205" s="114">
        <v>194</v>
      </c>
      <c r="B205" s="174" t="s">
        <v>772</v>
      </c>
      <c r="C205" s="173" t="s">
        <v>435</v>
      </c>
      <c r="D205" s="196" t="s">
        <v>288</v>
      </c>
      <c r="E205" s="196" t="s">
        <v>205</v>
      </c>
      <c r="F205" s="173" t="s">
        <v>447</v>
      </c>
      <c r="G205" s="197" t="s">
        <v>145</v>
      </c>
      <c r="H205" s="198" t="s">
        <v>146</v>
      </c>
      <c r="I205" s="199">
        <v>1</v>
      </c>
      <c r="J205" s="200" t="s">
        <v>437</v>
      </c>
      <c r="K205" s="201">
        <v>50</v>
      </c>
      <c r="L205" s="202">
        <v>7.93</v>
      </c>
      <c r="M205" s="200" t="s">
        <v>438</v>
      </c>
      <c r="N205" s="200" t="s">
        <v>218</v>
      </c>
      <c r="O205" s="200" t="s">
        <v>219</v>
      </c>
      <c r="P205" s="200" t="s">
        <v>218</v>
      </c>
      <c r="Q205" s="200" t="s">
        <v>219</v>
      </c>
      <c r="R205" s="200" t="s">
        <v>208</v>
      </c>
      <c r="S205" s="200" t="s">
        <v>219</v>
      </c>
      <c r="T205" s="200"/>
      <c r="U205" s="199">
        <v>1006.26</v>
      </c>
      <c r="V205" s="199">
        <v>1044.4100000000001</v>
      </c>
      <c r="W205" s="196">
        <v>149.55000000000001</v>
      </c>
      <c r="X205" s="196" t="s">
        <v>207</v>
      </c>
      <c r="Y205" s="196">
        <v>126.35</v>
      </c>
      <c r="Z205" s="196" t="s">
        <v>207</v>
      </c>
      <c r="AA205" s="196">
        <v>147.12</v>
      </c>
      <c r="AB205" s="196" t="s">
        <v>207</v>
      </c>
      <c r="AC205" s="196">
        <v>73.81</v>
      </c>
      <c r="AD205" s="196" t="s">
        <v>207</v>
      </c>
      <c r="AE205" s="196">
        <v>36.92</v>
      </c>
      <c r="AF205" s="196" t="s">
        <v>207</v>
      </c>
      <c r="AG205" s="196">
        <v>22.62</v>
      </c>
      <c r="AH205" s="196" t="s">
        <v>207</v>
      </c>
      <c r="AI205" s="196">
        <v>20.7</v>
      </c>
      <c r="AJ205" s="196" t="s">
        <v>207</v>
      </c>
      <c r="AK205" s="196">
        <v>19.97</v>
      </c>
      <c r="AL205" s="196" t="s">
        <v>207</v>
      </c>
      <c r="AM205" s="196">
        <v>27.05</v>
      </c>
      <c r="AN205" s="196" t="s">
        <v>207</v>
      </c>
      <c r="AO205" s="196">
        <v>86.33</v>
      </c>
      <c r="AP205" s="196" t="s">
        <v>207</v>
      </c>
      <c r="AQ205" s="196">
        <v>103.95</v>
      </c>
      <c r="AR205" s="196" t="s">
        <v>207</v>
      </c>
      <c r="AS205" s="196">
        <v>112.97</v>
      </c>
      <c r="AT205" s="196" t="s">
        <v>207</v>
      </c>
      <c r="AU205" s="196">
        <f t="shared" si="20"/>
        <v>927.34000000000015</v>
      </c>
      <c r="AV205" s="199">
        <v>0.5</v>
      </c>
      <c r="AW205" s="196" t="s">
        <v>438</v>
      </c>
      <c r="AX205" s="173" t="s">
        <v>296</v>
      </c>
      <c r="AY205" s="196">
        <v>1</v>
      </c>
      <c r="AZ205" s="196" t="s">
        <v>440</v>
      </c>
    </row>
    <row r="206" spans="1:52" s="208" customFormat="1" ht="15" customHeight="1" x14ac:dyDescent="0.3">
      <c r="A206" s="114">
        <v>195</v>
      </c>
      <c r="B206" s="174" t="s">
        <v>773</v>
      </c>
      <c r="C206" s="173" t="s">
        <v>435</v>
      </c>
      <c r="D206" s="196" t="s">
        <v>288</v>
      </c>
      <c r="E206" s="196" t="s">
        <v>205</v>
      </c>
      <c r="F206" s="173" t="s">
        <v>447</v>
      </c>
      <c r="G206" s="197" t="s">
        <v>145</v>
      </c>
      <c r="H206" s="198" t="s">
        <v>146</v>
      </c>
      <c r="I206" s="199">
        <v>1</v>
      </c>
      <c r="J206" s="200" t="s">
        <v>437</v>
      </c>
      <c r="K206" s="201">
        <v>50</v>
      </c>
      <c r="L206" s="202">
        <v>7.93</v>
      </c>
      <c r="M206" s="200" t="s">
        <v>438</v>
      </c>
      <c r="N206" s="200" t="s">
        <v>218</v>
      </c>
      <c r="O206" s="200" t="s">
        <v>219</v>
      </c>
      <c r="P206" s="200" t="s">
        <v>218</v>
      </c>
      <c r="Q206" s="200" t="s">
        <v>219</v>
      </c>
      <c r="R206" s="200" t="s">
        <v>208</v>
      </c>
      <c r="S206" s="200" t="s">
        <v>219</v>
      </c>
      <c r="T206" s="200"/>
      <c r="U206" s="199">
        <v>1234.6300000000001</v>
      </c>
      <c r="V206" s="199">
        <v>1171.2</v>
      </c>
      <c r="W206" s="196">
        <v>185.36</v>
      </c>
      <c r="X206" s="196" t="s">
        <v>207</v>
      </c>
      <c r="Y206" s="196">
        <v>128.68</v>
      </c>
      <c r="Z206" s="196" t="s">
        <v>207</v>
      </c>
      <c r="AA206" s="196">
        <v>160.71</v>
      </c>
      <c r="AB206" s="196" t="s">
        <v>207</v>
      </c>
      <c r="AC206" s="196">
        <v>98.25</v>
      </c>
      <c r="AD206" s="196" t="s">
        <v>207</v>
      </c>
      <c r="AE206" s="196">
        <v>51.28</v>
      </c>
      <c r="AF206" s="196" t="s">
        <v>207</v>
      </c>
      <c r="AG206" s="196">
        <v>28</v>
      </c>
      <c r="AH206" s="196" t="s">
        <v>207</v>
      </c>
      <c r="AI206" s="196">
        <v>31.7</v>
      </c>
      <c r="AJ206" s="196" t="s">
        <v>207</v>
      </c>
      <c r="AK206" s="196">
        <v>24.76</v>
      </c>
      <c r="AL206" s="196" t="s">
        <v>207</v>
      </c>
      <c r="AM206" s="196">
        <v>29.98</v>
      </c>
      <c r="AN206" s="196" t="s">
        <v>207</v>
      </c>
      <c r="AO206" s="196">
        <v>100.64</v>
      </c>
      <c r="AP206" s="196" t="s">
        <v>207</v>
      </c>
      <c r="AQ206" s="196">
        <v>120.59</v>
      </c>
      <c r="AR206" s="196" t="s">
        <v>207</v>
      </c>
      <c r="AS206" s="196">
        <v>126.55</v>
      </c>
      <c r="AT206" s="196" t="s">
        <v>207</v>
      </c>
      <c r="AU206" s="196">
        <f t="shared" si="20"/>
        <v>1086.5</v>
      </c>
      <c r="AV206" s="199">
        <v>0.51</v>
      </c>
      <c r="AW206" s="196" t="s">
        <v>438</v>
      </c>
      <c r="AX206" s="173" t="s">
        <v>296</v>
      </c>
      <c r="AY206" s="196">
        <v>1</v>
      </c>
      <c r="AZ206" s="196" t="s">
        <v>440</v>
      </c>
    </row>
    <row r="207" spans="1:52" s="208" customFormat="1" ht="15" customHeight="1" x14ac:dyDescent="0.3">
      <c r="A207" s="73">
        <v>196</v>
      </c>
      <c r="B207" s="174" t="s">
        <v>774</v>
      </c>
      <c r="C207" s="173" t="s">
        <v>435</v>
      </c>
      <c r="D207" s="196" t="s">
        <v>288</v>
      </c>
      <c r="E207" s="196" t="s">
        <v>205</v>
      </c>
      <c r="F207" s="173" t="s">
        <v>447</v>
      </c>
      <c r="G207" s="197" t="s">
        <v>145</v>
      </c>
      <c r="H207" s="198"/>
      <c r="I207" s="199">
        <v>1</v>
      </c>
      <c r="J207" s="200" t="s">
        <v>437</v>
      </c>
      <c r="K207" s="201">
        <v>80</v>
      </c>
      <c r="L207" s="202">
        <v>8.14</v>
      </c>
      <c r="M207" s="200" t="s">
        <v>438</v>
      </c>
      <c r="N207" s="200" t="s">
        <v>218</v>
      </c>
      <c r="O207" s="200" t="s">
        <v>219</v>
      </c>
      <c r="P207" s="200" t="s">
        <v>218</v>
      </c>
      <c r="Q207" s="200" t="s">
        <v>219</v>
      </c>
      <c r="R207" s="200" t="s">
        <v>208</v>
      </c>
      <c r="S207" s="200" t="s">
        <v>219</v>
      </c>
      <c r="T207" s="200"/>
      <c r="U207" s="199">
        <v>3342.43</v>
      </c>
      <c r="V207" s="199">
        <v>3302.08</v>
      </c>
      <c r="W207" s="196">
        <v>561.54</v>
      </c>
      <c r="X207" s="196" t="s">
        <v>207</v>
      </c>
      <c r="Y207" s="196">
        <v>401.22</v>
      </c>
      <c r="Z207" s="196" t="s">
        <v>207</v>
      </c>
      <c r="AA207" s="196">
        <v>508.36</v>
      </c>
      <c r="AB207" s="196" t="s">
        <v>207</v>
      </c>
      <c r="AC207" s="196">
        <v>304.5</v>
      </c>
      <c r="AD207" s="196" t="s">
        <v>207</v>
      </c>
      <c r="AE207" s="196">
        <v>112.49</v>
      </c>
      <c r="AF207" s="196" t="s">
        <v>207</v>
      </c>
      <c r="AG207" s="196">
        <v>73.44</v>
      </c>
      <c r="AH207" s="196" t="s">
        <v>207</v>
      </c>
      <c r="AI207" s="196">
        <v>68.930000000000007</v>
      </c>
      <c r="AJ207" s="196" t="s">
        <v>207</v>
      </c>
      <c r="AK207" s="196">
        <v>72.5</v>
      </c>
      <c r="AL207" s="196" t="s">
        <v>207</v>
      </c>
      <c r="AM207" s="196">
        <v>85.45</v>
      </c>
      <c r="AN207" s="196" t="s">
        <v>207</v>
      </c>
      <c r="AO207" s="196">
        <v>329.82</v>
      </c>
      <c r="AP207" s="196" t="s">
        <v>207</v>
      </c>
      <c r="AQ207" s="196">
        <v>298.54000000000002</v>
      </c>
      <c r="AR207" s="196" t="s">
        <v>207</v>
      </c>
      <c r="AS207" s="196">
        <v>406.59</v>
      </c>
      <c r="AT207" s="196" t="s">
        <v>207</v>
      </c>
      <c r="AU207" s="196">
        <f t="shared" si="20"/>
        <v>3223.38</v>
      </c>
      <c r="AV207" s="199">
        <v>1.88</v>
      </c>
      <c r="AW207" s="196" t="s">
        <v>438</v>
      </c>
      <c r="AX207" s="173" t="s">
        <v>296</v>
      </c>
      <c r="AY207" s="196">
        <v>1</v>
      </c>
      <c r="AZ207" s="196" t="s">
        <v>440</v>
      </c>
    </row>
    <row r="208" spans="1:52" s="208" customFormat="1" ht="15" customHeight="1" x14ac:dyDescent="0.3">
      <c r="A208" s="114">
        <v>197</v>
      </c>
      <c r="B208" s="174" t="s">
        <v>775</v>
      </c>
      <c r="C208" s="196" t="s">
        <v>435</v>
      </c>
      <c r="D208" s="196" t="s">
        <v>288</v>
      </c>
      <c r="E208" s="196" t="s">
        <v>205</v>
      </c>
      <c r="F208" s="196" t="s">
        <v>447</v>
      </c>
      <c r="G208" s="197" t="s">
        <v>145</v>
      </c>
      <c r="H208" s="198" t="s">
        <v>146</v>
      </c>
      <c r="I208" s="199">
        <v>1</v>
      </c>
      <c r="J208" s="200" t="s">
        <v>437</v>
      </c>
      <c r="K208" s="201">
        <v>80</v>
      </c>
      <c r="L208" s="202">
        <v>8.14</v>
      </c>
      <c r="M208" s="200" t="s">
        <v>438</v>
      </c>
      <c r="N208" s="200" t="s">
        <v>218</v>
      </c>
      <c r="O208" s="200" t="s">
        <v>219</v>
      </c>
      <c r="P208" s="200" t="s">
        <v>218</v>
      </c>
      <c r="Q208" s="200" t="s">
        <v>219</v>
      </c>
      <c r="R208" s="200" t="s">
        <v>296</v>
      </c>
      <c r="S208" s="200" t="s">
        <v>219</v>
      </c>
      <c r="T208" s="200" t="s">
        <v>444</v>
      </c>
      <c r="U208" s="207">
        <v>3670.46</v>
      </c>
      <c r="V208" s="207">
        <v>3465.81</v>
      </c>
      <c r="W208" s="196">
        <v>545.48</v>
      </c>
      <c r="X208" s="196" t="s">
        <v>207</v>
      </c>
      <c r="Y208" s="196">
        <v>412.72</v>
      </c>
      <c r="Z208" s="196" t="s">
        <v>207</v>
      </c>
      <c r="AA208" s="196">
        <v>521.23</v>
      </c>
      <c r="AB208" s="196" t="s">
        <v>207</v>
      </c>
      <c r="AC208" s="196">
        <v>305.14</v>
      </c>
      <c r="AD208" s="196" t="s">
        <v>207</v>
      </c>
      <c r="AE208" s="196">
        <v>109</v>
      </c>
      <c r="AF208" s="196" t="s">
        <v>207</v>
      </c>
      <c r="AG208" s="196">
        <v>75.06</v>
      </c>
      <c r="AH208" s="196" t="s">
        <v>207</v>
      </c>
      <c r="AI208" s="196">
        <v>68.14</v>
      </c>
      <c r="AJ208" s="196" t="s">
        <v>207</v>
      </c>
      <c r="AK208" s="196">
        <v>68.84</v>
      </c>
      <c r="AL208" s="196" t="s">
        <v>207</v>
      </c>
      <c r="AM208" s="196">
        <v>83.9</v>
      </c>
      <c r="AN208" s="196" t="s">
        <v>207</v>
      </c>
      <c r="AO208" s="196">
        <v>322.79000000000002</v>
      </c>
      <c r="AP208" s="196" t="s">
        <v>207</v>
      </c>
      <c r="AQ208" s="196">
        <v>276.48</v>
      </c>
      <c r="AR208" s="196" t="s">
        <v>207</v>
      </c>
      <c r="AS208" s="196">
        <v>400.26</v>
      </c>
      <c r="AT208" s="196" t="s">
        <v>207</v>
      </c>
      <c r="AU208" s="196">
        <f t="shared" si="20"/>
        <v>3189.04</v>
      </c>
      <c r="AV208" s="199">
        <v>1.87</v>
      </c>
      <c r="AW208" s="196" t="s">
        <v>438</v>
      </c>
      <c r="AX208" s="196" t="s">
        <v>296</v>
      </c>
      <c r="AY208" s="196">
        <v>1</v>
      </c>
      <c r="AZ208" s="196" t="s">
        <v>440</v>
      </c>
    </row>
    <row r="209" spans="1:52" s="208" customFormat="1" ht="15" customHeight="1" x14ac:dyDescent="0.3">
      <c r="A209" s="114">
        <v>198</v>
      </c>
      <c r="B209" s="174" t="s">
        <v>776</v>
      </c>
      <c r="C209" s="196" t="s">
        <v>435</v>
      </c>
      <c r="D209" s="196" t="s">
        <v>288</v>
      </c>
      <c r="E209" s="196" t="s">
        <v>205</v>
      </c>
      <c r="F209" s="196" t="s">
        <v>447</v>
      </c>
      <c r="G209" s="197" t="s">
        <v>145</v>
      </c>
      <c r="H209" s="198" t="s">
        <v>146</v>
      </c>
      <c r="I209" s="199">
        <v>1</v>
      </c>
      <c r="J209" s="200" t="s">
        <v>437</v>
      </c>
      <c r="K209" s="201">
        <v>80</v>
      </c>
      <c r="L209" s="202">
        <v>8.14</v>
      </c>
      <c r="M209" s="200" t="s">
        <v>438</v>
      </c>
      <c r="N209" s="200" t="s">
        <v>218</v>
      </c>
      <c r="O209" s="200" t="s">
        <v>219</v>
      </c>
      <c r="P209" s="200" t="s">
        <v>218</v>
      </c>
      <c r="Q209" s="200" t="s">
        <v>219</v>
      </c>
      <c r="R209" s="198" t="s">
        <v>296</v>
      </c>
      <c r="S209" s="200" t="s">
        <v>219</v>
      </c>
      <c r="T209" s="200" t="s">
        <v>444</v>
      </c>
      <c r="U209" s="207">
        <v>3326.71</v>
      </c>
      <c r="V209" s="207">
        <v>3324.85</v>
      </c>
      <c r="W209" s="196">
        <v>485.55</v>
      </c>
      <c r="X209" s="196" t="s">
        <v>207</v>
      </c>
      <c r="Y209" s="196">
        <v>405.02</v>
      </c>
      <c r="Z209" s="196" t="s">
        <v>207</v>
      </c>
      <c r="AA209" s="196">
        <v>506.08</v>
      </c>
      <c r="AB209" s="196" t="s">
        <v>207</v>
      </c>
      <c r="AC209" s="196">
        <v>295.83</v>
      </c>
      <c r="AD209" s="196" t="s">
        <v>207</v>
      </c>
      <c r="AE209" s="196">
        <v>139.32</v>
      </c>
      <c r="AF209" s="196" t="s">
        <v>207</v>
      </c>
      <c r="AG209" s="196">
        <v>83.49</v>
      </c>
      <c r="AH209" s="196" t="s">
        <v>207</v>
      </c>
      <c r="AI209" s="196">
        <v>75.05</v>
      </c>
      <c r="AJ209" s="196" t="s">
        <v>207</v>
      </c>
      <c r="AK209" s="196">
        <v>69.900000000000006</v>
      </c>
      <c r="AL209" s="196" t="s">
        <v>207</v>
      </c>
      <c r="AM209" s="196">
        <v>89.77</v>
      </c>
      <c r="AN209" s="196" t="s">
        <v>207</v>
      </c>
      <c r="AO209" s="196">
        <v>341.31</v>
      </c>
      <c r="AP209" s="196" t="s">
        <v>207</v>
      </c>
      <c r="AQ209" s="196">
        <v>284.87</v>
      </c>
      <c r="AR209" s="196" t="s">
        <v>207</v>
      </c>
      <c r="AS209" s="196">
        <v>392.33</v>
      </c>
      <c r="AT209" s="196" t="s">
        <v>207</v>
      </c>
      <c r="AU209" s="196">
        <f t="shared" si="20"/>
        <v>3168.5199999999995</v>
      </c>
      <c r="AV209" s="199">
        <v>1.85</v>
      </c>
      <c r="AW209" s="196" t="s">
        <v>438</v>
      </c>
      <c r="AX209" s="196" t="s">
        <v>296</v>
      </c>
      <c r="AY209" s="196">
        <v>1</v>
      </c>
      <c r="AZ209" s="196" t="s">
        <v>440</v>
      </c>
    </row>
    <row r="210" spans="1:52" s="208" customFormat="1" ht="15" customHeight="1" x14ac:dyDescent="0.3">
      <c r="A210" s="114">
        <v>199</v>
      </c>
      <c r="B210" s="174" t="s">
        <v>777</v>
      </c>
      <c r="C210" s="186" t="s">
        <v>445</v>
      </c>
      <c r="D210" s="213" t="s">
        <v>204</v>
      </c>
      <c r="E210" s="213" t="s">
        <v>250</v>
      </c>
      <c r="F210" s="186" t="s">
        <v>442</v>
      </c>
      <c r="G210" s="197" t="s">
        <v>145</v>
      </c>
      <c r="H210" s="210" t="s">
        <v>146</v>
      </c>
      <c r="I210" s="214">
        <v>6</v>
      </c>
      <c r="J210" s="215" t="s">
        <v>443</v>
      </c>
      <c r="K210" s="215">
        <v>40</v>
      </c>
      <c r="L210" s="215">
        <v>10.06</v>
      </c>
      <c r="M210" s="215" t="s">
        <v>438</v>
      </c>
      <c r="N210" s="215" t="s">
        <v>218</v>
      </c>
      <c r="O210" s="215" t="s">
        <v>219</v>
      </c>
      <c r="P210" s="215" t="s">
        <v>218</v>
      </c>
      <c r="Q210" s="215" t="s">
        <v>219</v>
      </c>
      <c r="R210" s="215" t="s">
        <v>296</v>
      </c>
      <c r="S210" s="215" t="s">
        <v>219</v>
      </c>
      <c r="T210" s="215" t="s">
        <v>444</v>
      </c>
      <c r="U210" s="214">
        <v>8340.6200000000008</v>
      </c>
      <c r="V210" s="214">
        <v>8199.35</v>
      </c>
      <c r="W210" s="213">
        <v>1198.22</v>
      </c>
      <c r="X210" s="217" t="s">
        <v>207</v>
      </c>
      <c r="Y210" s="213">
        <v>738.29</v>
      </c>
      <c r="Z210" s="217" t="s">
        <v>207</v>
      </c>
      <c r="AA210" s="213">
        <v>1193.5</v>
      </c>
      <c r="AB210" s="217" t="s">
        <v>207</v>
      </c>
      <c r="AC210" s="213">
        <v>772.85</v>
      </c>
      <c r="AD210" s="217" t="s">
        <v>207</v>
      </c>
      <c r="AE210" s="213">
        <v>168.41</v>
      </c>
      <c r="AF210" s="217" t="s">
        <v>207</v>
      </c>
      <c r="AG210" s="213">
        <v>187.86</v>
      </c>
      <c r="AH210" s="217" t="s">
        <v>207</v>
      </c>
      <c r="AI210" s="213">
        <v>172.46</v>
      </c>
      <c r="AJ210" s="217" t="s">
        <v>207</v>
      </c>
      <c r="AK210" s="213">
        <v>230.64</v>
      </c>
      <c r="AL210" s="217" t="s">
        <v>207</v>
      </c>
      <c r="AM210" s="213">
        <v>251.29</v>
      </c>
      <c r="AN210" s="217" t="s">
        <v>207</v>
      </c>
      <c r="AO210" s="213">
        <v>929.95</v>
      </c>
      <c r="AP210" s="217" t="s">
        <v>207</v>
      </c>
      <c r="AQ210" s="213">
        <v>723.64</v>
      </c>
      <c r="AR210" s="217" t="s">
        <v>207</v>
      </c>
      <c r="AS210" s="213">
        <v>1029.3</v>
      </c>
      <c r="AT210" s="217" t="s">
        <v>207</v>
      </c>
      <c r="AU210" s="196">
        <f t="shared" si="20"/>
        <v>7596.4100000000008</v>
      </c>
      <c r="AV210" s="214">
        <v>3.766</v>
      </c>
      <c r="AW210" s="186" t="str">
        <f>M210</f>
        <v>150/70</v>
      </c>
      <c r="AX210" s="186" t="str">
        <f>R210</f>
        <v>зависимая</v>
      </c>
      <c r="AY210" s="186">
        <v>5</v>
      </c>
      <c r="AZ210" s="186" t="s">
        <v>440</v>
      </c>
    </row>
    <row r="211" spans="1:52" s="208" customFormat="1" ht="15" customHeight="1" x14ac:dyDescent="0.3">
      <c r="A211" s="73">
        <v>200</v>
      </c>
      <c r="B211" s="174" t="s">
        <v>778</v>
      </c>
      <c r="C211" s="186" t="s">
        <v>445</v>
      </c>
      <c r="D211" s="213" t="s">
        <v>204</v>
      </c>
      <c r="E211" s="213" t="s">
        <v>250</v>
      </c>
      <c r="F211" s="186" t="s">
        <v>505</v>
      </c>
      <c r="G211" s="197" t="s">
        <v>145</v>
      </c>
      <c r="H211" s="210" t="s">
        <v>146</v>
      </c>
      <c r="I211" s="214">
        <v>2</v>
      </c>
      <c r="J211" s="215" t="s">
        <v>443</v>
      </c>
      <c r="K211" s="215">
        <v>100</v>
      </c>
      <c r="L211" s="215">
        <v>10.1</v>
      </c>
      <c r="M211" s="215" t="s">
        <v>438</v>
      </c>
      <c r="N211" s="215" t="s">
        <v>218</v>
      </c>
      <c r="O211" s="215" t="s">
        <v>219</v>
      </c>
      <c r="P211" s="215" t="s">
        <v>218</v>
      </c>
      <c r="Q211" s="215" t="s">
        <v>219</v>
      </c>
      <c r="R211" s="215" t="s">
        <v>296</v>
      </c>
      <c r="S211" s="215" t="s">
        <v>219</v>
      </c>
      <c r="T211" s="215" t="s">
        <v>444</v>
      </c>
      <c r="U211" s="214">
        <v>12602.25</v>
      </c>
      <c r="V211" s="214">
        <v>10776.64</v>
      </c>
      <c r="W211" s="213">
        <v>1138.3800000000001</v>
      </c>
      <c r="X211" s="217" t="s">
        <v>207</v>
      </c>
      <c r="Y211" s="231">
        <f>300.42+1028.71</f>
        <v>1329.13</v>
      </c>
      <c r="Z211" s="217" t="s">
        <v>207</v>
      </c>
      <c r="AA211" s="231">
        <f>1278.29+394.59</f>
        <v>1672.8799999999999</v>
      </c>
      <c r="AB211" s="217" t="s">
        <v>207</v>
      </c>
      <c r="AC211" s="231">
        <f>341.4+702.87</f>
        <v>1044.27</v>
      </c>
      <c r="AD211" s="217" t="s">
        <v>207</v>
      </c>
      <c r="AE211" s="213">
        <f>322.39+91.05</f>
        <v>413.44</v>
      </c>
      <c r="AF211" s="217" t="s">
        <v>207</v>
      </c>
      <c r="AG211" s="213">
        <f>264.61</f>
        <v>264.61</v>
      </c>
      <c r="AH211" s="217" t="s">
        <v>207</v>
      </c>
      <c r="AI211" s="213">
        <v>221.73</v>
      </c>
      <c r="AJ211" s="217" t="s">
        <v>207</v>
      </c>
      <c r="AK211" s="213">
        <v>230.64</v>
      </c>
      <c r="AL211" s="217" t="s">
        <v>207</v>
      </c>
      <c r="AM211" s="213">
        <v>302.5</v>
      </c>
      <c r="AN211" s="217" t="s">
        <v>207</v>
      </c>
      <c r="AO211" s="213">
        <v>1171.51</v>
      </c>
      <c r="AP211" s="217" t="s">
        <v>207</v>
      </c>
      <c r="AQ211" s="213">
        <v>973.98</v>
      </c>
      <c r="AR211" s="217" t="s">
        <v>207</v>
      </c>
      <c r="AS211" s="213">
        <v>1340.12</v>
      </c>
      <c r="AT211" s="217" t="s">
        <v>207</v>
      </c>
      <c r="AU211" s="196">
        <f t="shared" si="20"/>
        <v>10103.189999999999</v>
      </c>
      <c r="AV211" s="214">
        <f>3.75+1.7</f>
        <v>5.45</v>
      </c>
      <c r="AW211" s="186" t="str">
        <f>M211</f>
        <v>150/70</v>
      </c>
      <c r="AX211" s="186" t="str">
        <f>R211</f>
        <v>зависимая</v>
      </c>
      <c r="AY211" s="186">
        <v>1</v>
      </c>
      <c r="AZ211" s="186" t="s">
        <v>440</v>
      </c>
    </row>
    <row r="212" spans="1:52" s="208" customFormat="1" ht="15" customHeight="1" x14ac:dyDescent="0.3">
      <c r="A212" s="114">
        <v>201</v>
      </c>
      <c r="B212" s="174" t="s">
        <v>779</v>
      </c>
      <c r="C212" s="186" t="s">
        <v>506</v>
      </c>
      <c r="D212" s="213" t="s">
        <v>288</v>
      </c>
      <c r="E212" s="213" t="s">
        <v>250</v>
      </c>
      <c r="F212" s="186" t="s">
        <v>442</v>
      </c>
      <c r="G212" s="197" t="s">
        <v>145</v>
      </c>
      <c r="H212" s="210" t="s">
        <v>146</v>
      </c>
      <c r="I212" s="214">
        <v>1</v>
      </c>
      <c r="J212" s="215" t="s">
        <v>446</v>
      </c>
      <c r="K212" s="215">
        <v>50</v>
      </c>
      <c r="L212" s="215">
        <v>7</v>
      </c>
      <c r="M212" s="215" t="s">
        <v>438</v>
      </c>
      <c r="N212" s="215" t="s">
        <v>219</v>
      </c>
      <c r="O212" s="215" t="s">
        <v>219</v>
      </c>
      <c r="P212" s="215" t="s">
        <v>218</v>
      </c>
      <c r="Q212" s="216" t="s">
        <v>219</v>
      </c>
      <c r="R212" s="215" t="s">
        <v>296</v>
      </c>
      <c r="S212" s="215" t="s">
        <v>219</v>
      </c>
      <c r="T212" s="186" t="s">
        <v>507</v>
      </c>
      <c r="U212" s="214">
        <v>231.89</v>
      </c>
      <c r="V212" s="214">
        <v>217.58</v>
      </c>
      <c r="W212" s="213">
        <v>22.93</v>
      </c>
      <c r="X212" s="217" t="s">
        <v>207</v>
      </c>
      <c r="Y212" s="231">
        <v>20.3</v>
      </c>
      <c r="Z212" s="217" t="s">
        <v>207</v>
      </c>
      <c r="AA212" s="231">
        <v>10.87</v>
      </c>
      <c r="AB212" s="217" t="s">
        <v>207</v>
      </c>
      <c r="AC212" s="231">
        <v>6.53</v>
      </c>
      <c r="AD212" s="217" t="s">
        <v>207</v>
      </c>
      <c r="AE212" s="213">
        <v>6.53</v>
      </c>
      <c r="AF212" s="217" t="s">
        <v>207</v>
      </c>
      <c r="AG212" s="213"/>
      <c r="AH212" s="217" t="s">
        <v>207</v>
      </c>
      <c r="AI212" s="213"/>
      <c r="AJ212" s="217" t="s">
        <v>207</v>
      </c>
      <c r="AK212" s="213"/>
      <c r="AL212" s="217" t="s">
        <v>207</v>
      </c>
      <c r="AM212" s="213"/>
      <c r="AN212" s="217" t="s">
        <v>207</v>
      </c>
      <c r="AO212" s="213">
        <v>6.44</v>
      </c>
      <c r="AP212" s="217" t="s">
        <v>207</v>
      </c>
      <c r="AQ212" s="213">
        <v>20.329999999999998</v>
      </c>
      <c r="AR212" s="217" t="s">
        <v>207</v>
      </c>
      <c r="AS212" s="213">
        <v>21.64</v>
      </c>
      <c r="AT212" s="217" t="s">
        <v>207</v>
      </c>
      <c r="AU212" s="196">
        <f t="shared" si="20"/>
        <v>115.57</v>
      </c>
      <c r="AV212" s="214">
        <v>9.2999999999999999E-2</v>
      </c>
      <c r="AW212" s="186" t="str">
        <f>M212</f>
        <v>150/70</v>
      </c>
      <c r="AX212" s="186" t="str">
        <f>R212</f>
        <v>зависимая</v>
      </c>
      <c r="AY212" s="186">
        <f>I212</f>
        <v>1</v>
      </c>
      <c r="AZ212" s="186" t="s">
        <v>327</v>
      </c>
    </row>
    <row r="213" spans="1:52" s="208" customFormat="1" ht="15" customHeight="1" x14ac:dyDescent="0.3">
      <c r="A213" s="114">
        <v>202</v>
      </c>
      <c r="B213" s="174" t="s">
        <v>780</v>
      </c>
      <c r="C213" s="186" t="s">
        <v>445</v>
      </c>
      <c r="D213" s="213"/>
      <c r="E213" s="213"/>
      <c r="F213" s="186" t="s">
        <v>442</v>
      </c>
      <c r="G213" s="197" t="s">
        <v>145</v>
      </c>
      <c r="H213" s="210" t="s">
        <v>146</v>
      </c>
      <c r="I213" s="214"/>
      <c r="J213" s="215"/>
      <c r="K213" s="215"/>
      <c r="L213" s="215"/>
      <c r="M213" s="215"/>
      <c r="N213" s="215" t="s">
        <v>219</v>
      </c>
      <c r="O213" s="215" t="s">
        <v>219</v>
      </c>
      <c r="P213" s="215" t="s">
        <v>219</v>
      </c>
      <c r="Q213" s="216"/>
      <c r="R213" s="215"/>
      <c r="S213" s="215"/>
      <c r="T213" s="186" t="s">
        <v>508</v>
      </c>
      <c r="U213" s="214">
        <v>553.07000000000005</v>
      </c>
      <c r="V213" s="214">
        <v>652.71</v>
      </c>
      <c r="W213" s="213">
        <v>78.510000000000005</v>
      </c>
      <c r="X213" s="217" t="s">
        <v>449</v>
      </c>
      <c r="Y213" s="231">
        <v>76.17</v>
      </c>
      <c r="Z213" s="217" t="s">
        <v>449</v>
      </c>
      <c r="AA213" s="231">
        <v>78.510000000000005</v>
      </c>
      <c r="AB213" s="217" t="s">
        <v>449</v>
      </c>
      <c r="AC213" s="231">
        <v>78.510000000000005</v>
      </c>
      <c r="AD213" s="217" t="s">
        <v>449</v>
      </c>
      <c r="AE213" s="213">
        <v>78.510000000000005</v>
      </c>
      <c r="AF213" s="217" t="s">
        <v>449</v>
      </c>
      <c r="AG213" s="213"/>
      <c r="AH213" s="217" t="s">
        <v>449</v>
      </c>
      <c r="AI213" s="213"/>
      <c r="AJ213" s="217" t="s">
        <v>449</v>
      </c>
      <c r="AK213" s="213"/>
      <c r="AL213" s="217" t="s">
        <v>449</v>
      </c>
      <c r="AM213" s="213"/>
      <c r="AN213" s="217" t="s">
        <v>449</v>
      </c>
      <c r="AO213" s="213">
        <v>72.680000000000007</v>
      </c>
      <c r="AP213" s="217" t="s">
        <v>449</v>
      </c>
      <c r="AQ213" s="213">
        <v>72.680000000000007</v>
      </c>
      <c r="AR213" s="217" t="s">
        <v>449</v>
      </c>
      <c r="AS213" s="213">
        <v>70.92</v>
      </c>
      <c r="AT213" s="217" t="s">
        <v>449</v>
      </c>
      <c r="AU213" s="196">
        <f t="shared" si="20"/>
        <v>606.4899999999999</v>
      </c>
      <c r="AV213" s="214">
        <v>0.23</v>
      </c>
      <c r="AW213" s="186"/>
      <c r="AX213" s="186"/>
      <c r="AY213" s="186"/>
      <c r="AZ213" s="186" t="s">
        <v>440</v>
      </c>
    </row>
    <row r="214" spans="1:52" s="208" customFormat="1" ht="15" customHeight="1" x14ac:dyDescent="0.3">
      <c r="A214" s="114">
        <v>203</v>
      </c>
      <c r="B214" s="174" t="s">
        <v>781</v>
      </c>
      <c r="C214" s="186" t="s">
        <v>506</v>
      </c>
      <c r="D214" s="213"/>
      <c r="E214" s="213"/>
      <c r="F214" s="186" t="s">
        <v>442</v>
      </c>
      <c r="G214" s="197" t="s">
        <v>145</v>
      </c>
      <c r="H214" s="210" t="s">
        <v>146</v>
      </c>
      <c r="I214" s="214"/>
      <c r="J214" s="215"/>
      <c r="K214" s="215"/>
      <c r="L214" s="215"/>
      <c r="M214" s="215"/>
      <c r="N214" s="215" t="s">
        <v>219</v>
      </c>
      <c r="O214" s="215" t="s">
        <v>219</v>
      </c>
      <c r="P214" s="215"/>
      <c r="Q214" s="216"/>
      <c r="R214" s="215"/>
      <c r="S214" s="215"/>
      <c r="T214" s="186" t="s">
        <v>509</v>
      </c>
      <c r="U214" s="214">
        <v>251.4</v>
      </c>
      <c r="V214" s="214">
        <v>235.89</v>
      </c>
      <c r="W214" s="213">
        <v>24.86</v>
      </c>
      <c r="X214" s="217" t="s">
        <v>207</v>
      </c>
      <c r="Y214" s="213">
        <v>22</v>
      </c>
      <c r="Z214" s="217" t="s">
        <v>207</v>
      </c>
      <c r="AA214" s="213">
        <v>13</v>
      </c>
      <c r="AB214" s="217" t="s">
        <v>207</v>
      </c>
      <c r="AC214" s="213">
        <v>7.1</v>
      </c>
      <c r="AD214" s="217" t="s">
        <v>207</v>
      </c>
      <c r="AE214" s="213">
        <v>7.1</v>
      </c>
      <c r="AF214" s="217" t="s">
        <v>207</v>
      </c>
      <c r="AG214" s="213"/>
      <c r="AH214" s="217" t="s">
        <v>207</v>
      </c>
      <c r="AI214" s="213"/>
      <c r="AJ214" s="217" t="s">
        <v>207</v>
      </c>
      <c r="AK214" s="213"/>
      <c r="AL214" s="217" t="s">
        <v>207</v>
      </c>
      <c r="AM214" s="213"/>
      <c r="AN214" s="217" t="s">
        <v>207</v>
      </c>
      <c r="AO214" s="213">
        <v>6.98</v>
      </c>
      <c r="AP214" s="217" t="s">
        <v>207</v>
      </c>
      <c r="AQ214" s="213">
        <v>22.05</v>
      </c>
      <c r="AR214" s="217" t="s">
        <v>207</v>
      </c>
      <c r="AS214" s="213">
        <v>18.79</v>
      </c>
      <c r="AT214" s="217" t="s">
        <v>207</v>
      </c>
      <c r="AU214" s="196">
        <f t="shared" si="20"/>
        <v>121.88</v>
      </c>
      <c r="AV214" s="214">
        <v>9.2999999999999999E-2</v>
      </c>
      <c r="AW214" s="186"/>
      <c r="AX214" s="186"/>
      <c r="AY214" s="186"/>
      <c r="AZ214" s="186" t="s">
        <v>327</v>
      </c>
    </row>
    <row r="215" spans="1:52" s="208" customFormat="1" ht="15" customHeight="1" x14ac:dyDescent="0.3">
      <c r="A215" s="73">
        <v>204</v>
      </c>
      <c r="B215" s="174" t="s">
        <v>782</v>
      </c>
      <c r="C215" s="186" t="s">
        <v>445</v>
      </c>
      <c r="D215" s="213"/>
      <c r="E215" s="213"/>
      <c r="F215" s="186" t="s">
        <v>442</v>
      </c>
      <c r="G215" s="197" t="s">
        <v>145</v>
      </c>
      <c r="H215" s="210" t="s">
        <v>146</v>
      </c>
      <c r="I215" s="214"/>
      <c r="J215" s="215"/>
      <c r="K215" s="215"/>
      <c r="L215" s="215"/>
      <c r="M215" s="215"/>
      <c r="N215" s="215" t="s">
        <v>219</v>
      </c>
      <c r="O215" s="215" t="s">
        <v>219</v>
      </c>
      <c r="P215" s="215" t="s">
        <v>219</v>
      </c>
      <c r="Q215" s="216"/>
      <c r="R215" s="215"/>
      <c r="S215" s="215"/>
      <c r="T215" s="186" t="s">
        <v>510</v>
      </c>
      <c r="U215" s="214">
        <v>109.82</v>
      </c>
      <c r="V215" s="214">
        <v>121.61</v>
      </c>
      <c r="W215" s="213">
        <v>14.65</v>
      </c>
      <c r="X215" s="217" t="s">
        <v>449</v>
      </c>
      <c r="Y215" s="213">
        <v>14.22</v>
      </c>
      <c r="Z215" s="217" t="s">
        <v>449</v>
      </c>
      <c r="AA215" s="213">
        <v>14.65</v>
      </c>
      <c r="AB215" s="217" t="s">
        <v>449</v>
      </c>
      <c r="AC215" s="213">
        <v>14.65</v>
      </c>
      <c r="AD215" s="217" t="s">
        <v>449</v>
      </c>
      <c r="AE215" s="213">
        <v>14.65</v>
      </c>
      <c r="AF215" s="217" t="s">
        <v>449</v>
      </c>
      <c r="AG215" s="213"/>
      <c r="AH215" s="217" t="s">
        <v>449</v>
      </c>
      <c r="AI215" s="213"/>
      <c r="AJ215" s="217" t="s">
        <v>449</v>
      </c>
      <c r="AK215" s="213"/>
      <c r="AL215" s="217" t="s">
        <v>449</v>
      </c>
      <c r="AM215" s="213"/>
      <c r="AN215" s="217" t="s">
        <v>449</v>
      </c>
      <c r="AO215" s="213">
        <v>13.76</v>
      </c>
      <c r="AP215" s="217" t="s">
        <v>449</v>
      </c>
      <c r="AQ215" s="213">
        <v>13.76</v>
      </c>
      <c r="AR215" s="217" t="s">
        <v>449</v>
      </c>
      <c r="AS215" s="213">
        <v>13.43</v>
      </c>
      <c r="AT215" s="217" t="s">
        <v>449</v>
      </c>
      <c r="AU215" s="196">
        <f t="shared" si="20"/>
        <v>113.77000000000001</v>
      </c>
      <c r="AV215" s="214">
        <v>0.05</v>
      </c>
      <c r="AW215" s="186"/>
      <c r="AX215" s="186"/>
      <c r="AY215" s="186"/>
      <c r="AZ215" s="186" t="s">
        <v>440</v>
      </c>
    </row>
    <row r="216" spans="1:52" s="208" customFormat="1" ht="15" customHeight="1" x14ac:dyDescent="0.3">
      <c r="A216" s="114">
        <v>205</v>
      </c>
      <c r="B216" s="174" t="s">
        <v>783</v>
      </c>
      <c r="C216" s="186" t="s">
        <v>445</v>
      </c>
      <c r="D216" s="213"/>
      <c r="E216" s="213"/>
      <c r="F216" s="186" t="s">
        <v>442</v>
      </c>
      <c r="G216" s="197" t="s">
        <v>145</v>
      </c>
      <c r="H216" s="210" t="s">
        <v>146</v>
      </c>
      <c r="I216" s="214"/>
      <c r="J216" s="215"/>
      <c r="K216" s="215"/>
      <c r="L216" s="215"/>
      <c r="M216" s="215"/>
      <c r="N216" s="215" t="s">
        <v>219</v>
      </c>
      <c r="O216" s="215" t="s">
        <v>219</v>
      </c>
      <c r="P216" s="215" t="s">
        <v>219</v>
      </c>
      <c r="Q216" s="216"/>
      <c r="R216" s="215"/>
      <c r="S216" s="215"/>
      <c r="T216" s="186" t="s">
        <v>510</v>
      </c>
      <c r="U216" s="214">
        <v>125.6</v>
      </c>
      <c r="V216" s="214">
        <v>127.89</v>
      </c>
      <c r="W216" s="213">
        <v>14.66</v>
      </c>
      <c r="X216" s="217" t="s">
        <v>449</v>
      </c>
      <c r="Y216" s="213">
        <v>10.6</v>
      </c>
      <c r="Z216" s="217" t="s">
        <v>449</v>
      </c>
      <c r="AA216" s="213">
        <v>10.92</v>
      </c>
      <c r="AB216" s="217" t="s">
        <v>449</v>
      </c>
      <c r="AC216" s="213">
        <v>10.92</v>
      </c>
      <c r="AD216" s="217" t="s">
        <v>449</v>
      </c>
      <c r="AE216" s="213">
        <v>10.92</v>
      </c>
      <c r="AF216" s="217" t="s">
        <v>449</v>
      </c>
      <c r="AG216" s="213"/>
      <c r="AH216" s="217" t="s">
        <v>449</v>
      </c>
      <c r="AI216" s="213">
        <v>0.3</v>
      </c>
      <c r="AJ216" s="217" t="s">
        <v>449</v>
      </c>
      <c r="AK216" s="213"/>
      <c r="AL216" s="217" t="s">
        <v>449</v>
      </c>
      <c r="AM216" s="213"/>
      <c r="AN216" s="217" t="s">
        <v>449</v>
      </c>
      <c r="AO216" s="213">
        <v>5.0199999999999996</v>
      </c>
      <c r="AP216" s="217" t="s">
        <v>449</v>
      </c>
      <c r="AQ216" s="213">
        <v>9.7100000000000009</v>
      </c>
      <c r="AR216" s="217" t="s">
        <v>449</v>
      </c>
      <c r="AS216" s="213">
        <v>9.48</v>
      </c>
      <c r="AT216" s="217" t="s">
        <v>449</v>
      </c>
      <c r="AU216" s="196">
        <f t="shared" si="20"/>
        <v>82.530000000000015</v>
      </c>
      <c r="AV216" s="214">
        <v>0.04</v>
      </c>
      <c r="AW216" s="186">
        <f t="shared" ref="AW216:AW228" si="21">M216</f>
        <v>0</v>
      </c>
      <c r="AX216" s="186">
        <f t="shared" ref="AX216:AX228" si="22">R216</f>
        <v>0</v>
      </c>
      <c r="AY216" s="186">
        <f t="shared" ref="AY216:AY228" si="23">I216</f>
        <v>0</v>
      </c>
      <c r="AZ216" s="186" t="s">
        <v>440</v>
      </c>
    </row>
    <row r="217" spans="1:52" s="208" customFormat="1" ht="15" customHeight="1" x14ac:dyDescent="0.3">
      <c r="A217" s="114">
        <v>206</v>
      </c>
      <c r="B217" s="174" t="s">
        <v>784</v>
      </c>
      <c r="C217" s="186" t="s">
        <v>445</v>
      </c>
      <c r="D217" s="213"/>
      <c r="E217" s="213"/>
      <c r="F217" s="186" t="s">
        <v>442</v>
      </c>
      <c r="G217" s="197" t="s">
        <v>145</v>
      </c>
      <c r="H217" s="210" t="s">
        <v>146</v>
      </c>
      <c r="I217" s="214"/>
      <c r="J217" s="215"/>
      <c r="K217" s="215"/>
      <c r="L217" s="215"/>
      <c r="M217" s="215"/>
      <c r="N217" s="215" t="s">
        <v>219</v>
      </c>
      <c r="O217" s="215" t="s">
        <v>219</v>
      </c>
      <c r="P217" s="215" t="s">
        <v>219</v>
      </c>
      <c r="Q217" s="216"/>
      <c r="R217" s="215"/>
      <c r="S217" s="215"/>
      <c r="T217" s="186" t="s">
        <v>510</v>
      </c>
      <c r="U217" s="214">
        <v>227.6</v>
      </c>
      <c r="V217" s="214">
        <v>216.99</v>
      </c>
      <c r="W217" s="213">
        <v>26.91</v>
      </c>
      <c r="X217" s="217" t="s">
        <v>449</v>
      </c>
      <c r="Y217" s="213">
        <v>19.68</v>
      </c>
      <c r="Z217" s="217" t="s">
        <v>449</v>
      </c>
      <c r="AA217" s="213">
        <v>20.28</v>
      </c>
      <c r="AB217" s="217" t="s">
        <v>449</v>
      </c>
      <c r="AC217" s="213">
        <v>20.28</v>
      </c>
      <c r="AD217" s="217" t="s">
        <v>449</v>
      </c>
      <c r="AE217" s="213">
        <v>20.28</v>
      </c>
      <c r="AF217" s="217" t="s">
        <v>449</v>
      </c>
      <c r="AG217" s="213"/>
      <c r="AH217" s="217" t="s">
        <v>449</v>
      </c>
      <c r="AI217" s="213">
        <v>0.3</v>
      </c>
      <c r="AJ217" s="217" t="s">
        <v>449</v>
      </c>
      <c r="AK217" s="213"/>
      <c r="AL217" s="217" t="s">
        <v>449</v>
      </c>
      <c r="AM217" s="213"/>
      <c r="AN217" s="217" t="s">
        <v>449</v>
      </c>
      <c r="AO217" s="213">
        <v>5.12</v>
      </c>
      <c r="AP217" s="217" t="s">
        <v>449</v>
      </c>
      <c r="AQ217" s="213">
        <v>17.239999999999998</v>
      </c>
      <c r="AR217" s="217" t="s">
        <v>449</v>
      </c>
      <c r="AS217" s="213">
        <v>16.82</v>
      </c>
      <c r="AT217" s="217" t="s">
        <v>449</v>
      </c>
      <c r="AU217" s="196">
        <f t="shared" si="20"/>
        <v>146.91</v>
      </c>
      <c r="AV217" s="214">
        <v>0.09</v>
      </c>
      <c r="AW217" s="186">
        <f t="shared" si="21"/>
        <v>0</v>
      </c>
      <c r="AX217" s="186">
        <f t="shared" si="22"/>
        <v>0</v>
      </c>
      <c r="AY217" s="186">
        <f t="shared" si="23"/>
        <v>0</v>
      </c>
      <c r="AZ217" s="186" t="s">
        <v>440</v>
      </c>
    </row>
    <row r="218" spans="1:52" s="208" customFormat="1" ht="15" customHeight="1" x14ac:dyDescent="0.3">
      <c r="A218" s="114">
        <v>207</v>
      </c>
      <c r="B218" s="174" t="s">
        <v>785</v>
      </c>
      <c r="C218" s="186" t="s">
        <v>445</v>
      </c>
      <c r="D218" s="213"/>
      <c r="E218" s="213"/>
      <c r="F218" s="186" t="s">
        <v>442</v>
      </c>
      <c r="G218" s="197" t="s">
        <v>145</v>
      </c>
      <c r="H218" s="210" t="s">
        <v>146</v>
      </c>
      <c r="I218" s="214"/>
      <c r="J218" s="215"/>
      <c r="K218" s="215"/>
      <c r="L218" s="215"/>
      <c r="M218" s="215"/>
      <c r="N218" s="215" t="s">
        <v>219</v>
      </c>
      <c r="O218" s="215" t="s">
        <v>219</v>
      </c>
      <c r="P218" s="215" t="s">
        <v>219</v>
      </c>
      <c r="Q218" s="216"/>
      <c r="R218" s="215"/>
      <c r="S218" s="215"/>
      <c r="T218" s="186" t="s">
        <v>510</v>
      </c>
      <c r="U218" s="214">
        <v>326.3</v>
      </c>
      <c r="V218" s="214">
        <v>308.54000000000002</v>
      </c>
      <c r="W218" s="213">
        <v>38.020000000000003</v>
      </c>
      <c r="X218" s="217" t="s">
        <v>449</v>
      </c>
      <c r="Y218" s="213">
        <v>26.43</v>
      </c>
      <c r="Z218" s="217" t="s">
        <v>449</v>
      </c>
      <c r="AA218" s="213">
        <v>27.24</v>
      </c>
      <c r="AB218" s="217" t="s">
        <v>449</v>
      </c>
      <c r="AC218" s="213">
        <v>27.24</v>
      </c>
      <c r="AD218" s="217" t="s">
        <v>449</v>
      </c>
      <c r="AE218" s="213">
        <v>27.24</v>
      </c>
      <c r="AF218" s="217" t="s">
        <v>449</v>
      </c>
      <c r="AG218" s="213"/>
      <c r="AH218" s="217" t="s">
        <v>449</v>
      </c>
      <c r="AI218" s="213">
        <v>0.3</v>
      </c>
      <c r="AJ218" s="217" t="s">
        <v>449</v>
      </c>
      <c r="AK218" s="213"/>
      <c r="AL218" s="217" t="s">
        <v>449</v>
      </c>
      <c r="AM218" s="213"/>
      <c r="AN218" s="217" t="s">
        <v>449</v>
      </c>
      <c r="AO218" s="213">
        <v>10.11</v>
      </c>
      <c r="AP218" s="217" t="s">
        <v>449</v>
      </c>
      <c r="AQ218" s="213">
        <v>28.04</v>
      </c>
      <c r="AR218" s="217" t="s">
        <v>449</v>
      </c>
      <c r="AS218" s="213">
        <v>27.36</v>
      </c>
      <c r="AT218" s="217" t="s">
        <v>449</v>
      </c>
      <c r="AU218" s="196">
        <f t="shared" si="20"/>
        <v>211.97999999999996</v>
      </c>
      <c r="AV218" s="214">
        <v>0.13</v>
      </c>
      <c r="AW218" s="186">
        <f t="shared" si="21"/>
        <v>0</v>
      </c>
      <c r="AX218" s="186">
        <f t="shared" si="22"/>
        <v>0</v>
      </c>
      <c r="AY218" s="186">
        <f t="shared" si="23"/>
        <v>0</v>
      </c>
      <c r="AZ218" s="186" t="s">
        <v>440</v>
      </c>
    </row>
    <row r="219" spans="1:52" s="208" customFormat="1" ht="15" customHeight="1" x14ac:dyDescent="0.3">
      <c r="A219" s="73">
        <v>208</v>
      </c>
      <c r="B219" s="174" t="s">
        <v>786</v>
      </c>
      <c r="C219" s="186" t="s">
        <v>445</v>
      </c>
      <c r="D219" s="213"/>
      <c r="E219" s="213"/>
      <c r="F219" s="186" t="s">
        <v>442</v>
      </c>
      <c r="G219" s="197" t="s">
        <v>145</v>
      </c>
      <c r="H219" s="210" t="s">
        <v>146</v>
      </c>
      <c r="I219" s="214"/>
      <c r="J219" s="215"/>
      <c r="K219" s="215"/>
      <c r="L219" s="215"/>
      <c r="M219" s="215"/>
      <c r="N219" s="215" t="s">
        <v>219</v>
      </c>
      <c r="O219" s="215" t="s">
        <v>219</v>
      </c>
      <c r="P219" s="215" t="s">
        <v>219</v>
      </c>
      <c r="Q219" s="216"/>
      <c r="R219" s="215"/>
      <c r="S219" s="215"/>
      <c r="T219" s="186" t="s">
        <v>510</v>
      </c>
      <c r="U219" s="214">
        <v>245.5</v>
      </c>
      <c r="V219" s="214">
        <v>225.3</v>
      </c>
      <c r="W219" s="213">
        <v>29.01</v>
      </c>
      <c r="X219" s="217" t="s">
        <v>449</v>
      </c>
      <c r="Y219" s="213">
        <v>21</v>
      </c>
      <c r="Z219" s="217" t="s">
        <v>449</v>
      </c>
      <c r="AA219" s="213">
        <v>21.64</v>
      </c>
      <c r="AB219" s="217" t="s">
        <v>449</v>
      </c>
      <c r="AC219" s="213">
        <v>21.64</v>
      </c>
      <c r="AD219" s="217" t="s">
        <v>449</v>
      </c>
      <c r="AE219" s="213">
        <v>21.64</v>
      </c>
      <c r="AF219" s="217" t="s">
        <v>449</v>
      </c>
      <c r="AG219" s="213"/>
      <c r="AH219" s="217" t="s">
        <v>449</v>
      </c>
      <c r="AI219" s="213">
        <v>0.3</v>
      </c>
      <c r="AJ219" s="217" t="s">
        <v>449</v>
      </c>
      <c r="AK219" s="213"/>
      <c r="AL219" s="217" t="s">
        <v>449</v>
      </c>
      <c r="AM219" s="213"/>
      <c r="AN219" s="217" t="s">
        <v>449</v>
      </c>
      <c r="AO219" s="213">
        <v>7.86</v>
      </c>
      <c r="AP219" s="217" t="s">
        <v>449</v>
      </c>
      <c r="AQ219" s="213">
        <v>19.170000000000002</v>
      </c>
      <c r="AR219" s="217" t="s">
        <v>449</v>
      </c>
      <c r="AS219" s="213">
        <v>18.71</v>
      </c>
      <c r="AT219" s="217" t="s">
        <v>449</v>
      </c>
      <c r="AU219" s="196">
        <f t="shared" si="20"/>
        <v>160.97</v>
      </c>
      <c r="AV219" s="214">
        <v>0.12</v>
      </c>
      <c r="AW219" s="186">
        <f t="shared" si="21"/>
        <v>0</v>
      </c>
      <c r="AX219" s="186">
        <f t="shared" si="22"/>
        <v>0</v>
      </c>
      <c r="AY219" s="186">
        <f t="shared" si="23"/>
        <v>0</v>
      </c>
      <c r="AZ219" s="186" t="s">
        <v>327</v>
      </c>
    </row>
    <row r="220" spans="1:52" s="208" customFormat="1" ht="15" customHeight="1" x14ac:dyDescent="0.3">
      <c r="A220" s="114">
        <v>209</v>
      </c>
      <c r="B220" s="174" t="s">
        <v>787</v>
      </c>
      <c r="C220" s="186" t="s">
        <v>445</v>
      </c>
      <c r="D220" s="213"/>
      <c r="E220" s="213"/>
      <c r="F220" s="186" t="s">
        <v>442</v>
      </c>
      <c r="G220" s="197" t="s">
        <v>145</v>
      </c>
      <c r="H220" s="210" t="s">
        <v>146</v>
      </c>
      <c r="I220" s="214"/>
      <c r="J220" s="215"/>
      <c r="K220" s="215"/>
      <c r="L220" s="215"/>
      <c r="M220" s="215"/>
      <c r="N220" s="215" t="s">
        <v>219</v>
      </c>
      <c r="O220" s="215" t="s">
        <v>219</v>
      </c>
      <c r="P220" s="215" t="s">
        <v>219</v>
      </c>
      <c r="Q220" s="216"/>
      <c r="R220" s="215"/>
      <c r="S220" s="215"/>
      <c r="T220" s="186" t="s">
        <v>510</v>
      </c>
      <c r="U220" s="214">
        <v>113.23</v>
      </c>
      <c r="V220" s="214">
        <v>116.57</v>
      </c>
      <c r="W220" s="213">
        <v>17.329999999999998</v>
      </c>
      <c r="X220" s="217" t="s">
        <v>449</v>
      </c>
      <c r="Y220" s="213">
        <v>12.52</v>
      </c>
      <c r="Z220" s="217" t="s">
        <v>449</v>
      </c>
      <c r="AA220" s="213">
        <v>12.9</v>
      </c>
      <c r="AB220" s="217" t="s">
        <v>449</v>
      </c>
      <c r="AC220" s="213">
        <v>12.9</v>
      </c>
      <c r="AD220" s="217" t="s">
        <v>449</v>
      </c>
      <c r="AE220" s="213">
        <v>12.9</v>
      </c>
      <c r="AF220" s="217" t="s">
        <v>449</v>
      </c>
      <c r="AG220" s="213"/>
      <c r="AH220" s="217" t="s">
        <v>449</v>
      </c>
      <c r="AI220" s="213"/>
      <c r="AJ220" s="217" t="s">
        <v>449</v>
      </c>
      <c r="AK220" s="213"/>
      <c r="AL220" s="217" t="s">
        <v>449</v>
      </c>
      <c r="AM220" s="213"/>
      <c r="AN220" s="217" t="s">
        <v>449</v>
      </c>
      <c r="AO220" s="213">
        <v>3.73</v>
      </c>
      <c r="AP220" s="217" t="s">
        <v>449</v>
      </c>
      <c r="AQ220" s="213">
        <v>11.15</v>
      </c>
      <c r="AR220" s="217" t="s">
        <v>449</v>
      </c>
      <c r="AS220" s="213">
        <v>10.88</v>
      </c>
      <c r="AT220" s="217" t="s">
        <v>449</v>
      </c>
      <c r="AU220" s="196">
        <f t="shared" si="20"/>
        <v>94.31</v>
      </c>
      <c r="AV220" s="214">
        <v>0.04</v>
      </c>
      <c r="AW220" s="186">
        <f t="shared" si="21"/>
        <v>0</v>
      </c>
      <c r="AX220" s="186">
        <f t="shared" si="22"/>
        <v>0</v>
      </c>
      <c r="AY220" s="186">
        <f t="shared" si="23"/>
        <v>0</v>
      </c>
      <c r="AZ220" s="186" t="s">
        <v>327</v>
      </c>
    </row>
    <row r="221" spans="1:52" s="221" customFormat="1" ht="15" customHeight="1" x14ac:dyDescent="0.3">
      <c r="A221" s="114">
        <v>210</v>
      </c>
      <c r="B221" s="174" t="s">
        <v>788</v>
      </c>
      <c r="C221" s="186" t="s">
        <v>445</v>
      </c>
      <c r="D221" s="213"/>
      <c r="E221" s="213"/>
      <c r="F221" s="186" t="s">
        <v>442</v>
      </c>
      <c r="G221" s="197" t="s">
        <v>145</v>
      </c>
      <c r="H221" s="210" t="s">
        <v>146</v>
      </c>
      <c r="I221" s="214"/>
      <c r="J221" s="215"/>
      <c r="K221" s="215"/>
      <c r="L221" s="215"/>
      <c r="M221" s="215"/>
      <c r="N221" s="215" t="s">
        <v>219</v>
      </c>
      <c r="O221" s="215" t="s">
        <v>219</v>
      </c>
      <c r="P221" s="215" t="s">
        <v>219</v>
      </c>
      <c r="Q221" s="216"/>
      <c r="R221" s="215"/>
      <c r="S221" s="215"/>
      <c r="T221" s="186" t="s">
        <v>510</v>
      </c>
      <c r="U221" s="214">
        <v>113.03</v>
      </c>
      <c r="V221" s="214">
        <v>115.66</v>
      </c>
      <c r="W221" s="213">
        <v>15.94</v>
      </c>
      <c r="X221" s="217" t="s">
        <v>449</v>
      </c>
      <c r="Y221" s="213">
        <v>11.55</v>
      </c>
      <c r="Z221" s="217" t="s">
        <v>449</v>
      </c>
      <c r="AA221" s="213">
        <v>11.9</v>
      </c>
      <c r="AB221" s="217" t="s">
        <v>449</v>
      </c>
      <c r="AC221" s="213">
        <v>11.9</v>
      </c>
      <c r="AD221" s="217" t="s">
        <v>449</v>
      </c>
      <c r="AE221" s="213">
        <v>11.9</v>
      </c>
      <c r="AF221" s="217" t="s">
        <v>449</v>
      </c>
      <c r="AG221" s="213"/>
      <c r="AH221" s="217" t="s">
        <v>449</v>
      </c>
      <c r="AI221" s="213"/>
      <c r="AJ221" s="217" t="s">
        <v>449</v>
      </c>
      <c r="AK221" s="213"/>
      <c r="AL221" s="217" t="s">
        <v>449</v>
      </c>
      <c r="AM221" s="213"/>
      <c r="AN221" s="217" t="s">
        <v>449</v>
      </c>
      <c r="AO221" s="213">
        <v>3.7</v>
      </c>
      <c r="AP221" s="217" t="s">
        <v>449</v>
      </c>
      <c r="AQ221" s="213">
        <v>10.16</v>
      </c>
      <c r="AR221" s="217" t="s">
        <v>449</v>
      </c>
      <c r="AS221" s="213">
        <v>9.91</v>
      </c>
      <c r="AT221" s="217" t="s">
        <v>449</v>
      </c>
      <c r="AU221" s="196">
        <f t="shared" si="20"/>
        <v>86.96</v>
      </c>
      <c r="AV221" s="214">
        <v>0.04</v>
      </c>
      <c r="AW221" s="186">
        <f t="shared" si="21"/>
        <v>0</v>
      </c>
      <c r="AX221" s="186">
        <f t="shared" si="22"/>
        <v>0</v>
      </c>
      <c r="AY221" s="186">
        <f t="shared" si="23"/>
        <v>0</v>
      </c>
      <c r="AZ221" s="186" t="s">
        <v>327</v>
      </c>
    </row>
    <row r="222" spans="1:52" s="208" customFormat="1" ht="15" customHeight="1" x14ac:dyDescent="0.3">
      <c r="A222" s="114">
        <v>211</v>
      </c>
      <c r="B222" s="174" t="s">
        <v>789</v>
      </c>
      <c r="C222" s="186" t="s">
        <v>445</v>
      </c>
      <c r="D222" s="213"/>
      <c r="E222" s="213"/>
      <c r="F222" s="186" t="s">
        <v>442</v>
      </c>
      <c r="G222" s="197" t="s">
        <v>145</v>
      </c>
      <c r="H222" s="210" t="s">
        <v>146</v>
      </c>
      <c r="I222" s="214"/>
      <c r="J222" s="215"/>
      <c r="K222" s="215"/>
      <c r="L222" s="215"/>
      <c r="M222" s="215"/>
      <c r="N222" s="215" t="s">
        <v>219</v>
      </c>
      <c r="O222" s="215" t="s">
        <v>219</v>
      </c>
      <c r="P222" s="215" t="s">
        <v>219</v>
      </c>
      <c r="Q222" s="216"/>
      <c r="R222" s="215"/>
      <c r="S222" s="215"/>
      <c r="T222" s="186" t="s">
        <v>510</v>
      </c>
      <c r="U222" s="214">
        <v>339.37</v>
      </c>
      <c r="V222" s="214">
        <v>342.13</v>
      </c>
      <c r="W222" s="213">
        <v>42.25</v>
      </c>
      <c r="X222" s="217" t="s">
        <v>449</v>
      </c>
      <c r="Y222" s="231">
        <v>29.83</v>
      </c>
      <c r="Z222" s="217" t="s">
        <v>449</v>
      </c>
      <c r="AA222" s="231">
        <v>30.74</v>
      </c>
      <c r="AB222" s="217" t="s">
        <v>449</v>
      </c>
      <c r="AC222" s="231">
        <v>30.74</v>
      </c>
      <c r="AD222" s="217" t="s">
        <v>449</v>
      </c>
      <c r="AE222" s="213">
        <v>30.74</v>
      </c>
      <c r="AF222" s="217" t="s">
        <v>449</v>
      </c>
      <c r="AG222" s="213"/>
      <c r="AH222" s="217" t="s">
        <v>449</v>
      </c>
      <c r="AI222" s="213"/>
      <c r="AJ222" s="217" t="s">
        <v>449</v>
      </c>
      <c r="AK222" s="213"/>
      <c r="AL222" s="217" t="s">
        <v>449</v>
      </c>
      <c r="AM222" s="213"/>
      <c r="AN222" s="217" t="s">
        <v>449</v>
      </c>
      <c r="AO222" s="213">
        <v>11.17</v>
      </c>
      <c r="AP222" s="217" t="s">
        <v>449</v>
      </c>
      <c r="AQ222" s="213">
        <v>29.44</v>
      </c>
      <c r="AR222" s="217" t="s">
        <v>449</v>
      </c>
      <c r="AS222" s="213">
        <v>28.73</v>
      </c>
      <c r="AT222" s="217" t="s">
        <v>449</v>
      </c>
      <c r="AU222" s="196">
        <f t="shared" si="20"/>
        <v>233.64</v>
      </c>
      <c r="AV222" s="214">
        <v>0.12</v>
      </c>
      <c r="AW222" s="186">
        <f t="shared" si="21"/>
        <v>0</v>
      </c>
      <c r="AX222" s="186">
        <f t="shared" si="22"/>
        <v>0</v>
      </c>
      <c r="AY222" s="186">
        <f t="shared" si="23"/>
        <v>0</v>
      </c>
      <c r="AZ222" s="186" t="s">
        <v>327</v>
      </c>
    </row>
    <row r="223" spans="1:52" s="208" customFormat="1" ht="15" customHeight="1" x14ac:dyDescent="0.3">
      <c r="A223" s="73">
        <v>212</v>
      </c>
      <c r="B223" s="174" t="s">
        <v>790</v>
      </c>
      <c r="C223" s="186" t="s">
        <v>445</v>
      </c>
      <c r="D223" s="213"/>
      <c r="E223" s="213"/>
      <c r="F223" s="186" t="s">
        <v>442</v>
      </c>
      <c r="G223" s="197" t="s">
        <v>145</v>
      </c>
      <c r="H223" s="210" t="s">
        <v>146</v>
      </c>
      <c r="I223" s="214"/>
      <c r="J223" s="215"/>
      <c r="K223" s="215"/>
      <c r="L223" s="215"/>
      <c r="M223" s="215"/>
      <c r="N223" s="215" t="s">
        <v>219</v>
      </c>
      <c r="O223" s="215" t="s">
        <v>219</v>
      </c>
      <c r="P223" s="215" t="s">
        <v>219</v>
      </c>
      <c r="Q223" s="216"/>
      <c r="R223" s="215"/>
      <c r="S223" s="215"/>
      <c r="T223" s="186" t="s">
        <v>510</v>
      </c>
      <c r="U223" s="214">
        <v>293.27</v>
      </c>
      <c r="V223" s="214">
        <v>298.14</v>
      </c>
      <c r="W223" s="213">
        <v>39.44</v>
      </c>
      <c r="X223" s="217" t="s">
        <v>449</v>
      </c>
      <c r="Y223" s="213">
        <v>27.59</v>
      </c>
      <c r="Z223" s="217" t="s">
        <v>449</v>
      </c>
      <c r="AA223" s="213">
        <v>28.44</v>
      </c>
      <c r="AB223" s="217" t="s">
        <v>449</v>
      </c>
      <c r="AC223" s="213">
        <v>28.44</v>
      </c>
      <c r="AD223" s="217" t="s">
        <v>449</v>
      </c>
      <c r="AE223" s="213">
        <v>28.44</v>
      </c>
      <c r="AF223" s="217" t="s">
        <v>449</v>
      </c>
      <c r="AG223" s="213"/>
      <c r="AH223" s="217" t="s">
        <v>449</v>
      </c>
      <c r="AI223" s="213">
        <v>1.29</v>
      </c>
      <c r="AJ223" s="217" t="s">
        <v>449</v>
      </c>
      <c r="AK223" s="213"/>
      <c r="AL223" s="217" t="s">
        <v>449</v>
      </c>
      <c r="AM223" s="213"/>
      <c r="AN223" s="217" t="s">
        <v>449</v>
      </c>
      <c r="AO223" s="213">
        <v>9.65</v>
      </c>
      <c r="AP223" s="217" t="s">
        <v>449</v>
      </c>
      <c r="AQ223" s="213">
        <v>28.14</v>
      </c>
      <c r="AR223" s="217" t="s">
        <v>449</v>
      </c>
      <c r="AS223" s="213">
        <v>27.46</v>
      </c>
      <c r="AT223" s="217" t="s">
        <v>449</v>
      </c>
      <c r="AU223" s="196">
        <f t="shared" si="20"/>
        <v>218.89000000000001</v>
      </c>
      <c r="AV223" s="214">
        <v>0.1</v>
      </c>
      <c r="AW223" s="186">
        <f t="shared" si="21"/>
        <v>0</v>
      </c>
      <c r="AX223" s="186">
        <f t="shared" si="22"/>
        <v>0</v>
      </c>
      <c r="AY223" s="186">
        <f t="shared" si="23"/>
        <v>0</v>
      </c>
      <c r="AZ223" s="186" t="s">
        <v>327</v>
      </c>
    </row>
    <row r="224" spans="1:52" s="208" customFormat="1" ht="15" customHeight="1" x14ac:dyDescent="0.3">
      <c r="A224" s="114">
        <v>213</v>
      </c>
      <c r="B224" s="174" t="s">
        <v>791</v>
      </c>
      <c r="C224" s="186" t="s">
        <v>445</v>
      </c>
      <c r="D224" s="213"/>
      <c r="E224" s="213"/>
      <c r="F224" s="186" t="s">
        <v>442</v>
      </c>
      <c r="G224" s="197" t="s">
        <v>145</v>
      </c>
      <c r="H224" s="210" t="s">
        <v>146</v>
      </c>
      <c r="I224" s="214"/>
      <c r="J224" s="215"/>
      <c r="K224" s="215"/>
      <c r="L224" s="215"/>
      <c r="M224" s="215"/>
      <c r="N224" s="215" t="s">
        <v>219</v>
      </c>
      <c r="O224" s="215" t="s">
        <v>219</v>
      </c>
      <c r="P224" s="215" t="s">
        <v>219</v>
      </c>
      <c r="Q224" s="216"/>
      <c r="R224" s="215"/>
      <c r="S224" s="215"/>
      <c r="T224" s="186" t="s">
        <v>510</v>
      </c>
      <c r="U224" s="214">
        <v>112.92</v>
      </c>
      <c r="V224" s="214">
        <v>115.67</v>
      </c>
      <c r="W224" s="213">
        <v>15.99</v>
      </c>
      <c r="X224" s="217" t="s">
        <v>449</v>
      </c>
      <c r="Y224" s="213">
        <v>11.58</v>
      </c>
      <c r="Z224" s="217" t="s">
        <v>449</v>
      </c>
      <c r="AA224" s="213">
        <v>11.93</v>
      </c>
      <c r="AB224" s="217" t="s">
        <v>449</v>
      </c>
      <c r="AC224" s="213">
        <v>11.93</v>
      </c>
      <c r="AD224" s="217" t="s">
        <v>449</v>
      </c>
      <c r="AE224" s="213">
        <v>11.93</v>
      </c>
      <c r="AF224" s="217" t="s">
        <v>449</v>
      </c>
      <c r="AG224" s="213"/>
      <c r="AH224" s="217" t="s">
        <v>449</v>
      </c>
      <c r="AI224" s="213"/>
      <c r="AJ224" s="217" t="s">
        <v>449</v>
      </c>
      <c r="AK224" s="213"/>
      <c r="AL224" s="217" t="s">
        <v>449</v>
      </c>
      <c r="AM224" s="213"/>
      <c r="AN224" s="217" t="s">
        <v>449</v>
      </c>
      <c r="AO224" s="213">
        <v>3.73</v>
      </c>
      <c r="AP224" s="217" t="s">
        <v>449</v>
      </c>
      <c r="AQ224" s="213">
        <v>10.199999999999999</v>
      </c>
      <c r="AR224" s="217" t="s">
        <v>449</v>
      </c>
      <c r="AS224" s="213">
        <v>9.9499999999999993</v>
      </c>
      <c r="AT224" s="217" t="s">
        <v>449</v>
      </c>
      <c r="AU224" s="196">
        <f t="shared" si="20"/>
        <v>87.240000000000009</v>
      </c>
      <c r="AV224" s="214">
        <v>0.04</v>
      </c>
      <c r="AW224" s="186">
        <f t="shared" si="21"/>
        <v>0</v>
      </c>
      <c r="AX224" s="186">
        <f t="shared" si="22"/>
        <v>0</v>
      </c>
      <c r="AY224" s="186">
        <f t="shared" si="23"/>
        <v>0</v>
      </c>
      <c r="AZ224" s="186" t="s">
        <v>327</v>
      </c>
    </row>
    <row r="225" spans="1:52" s="208" customFormat="1" ht="15" customHeight="1" x14ac:dyDescent="0.3">
      <c r="A225" s="114">
        <v>214</v>
      </c>
      <c r="B225" s="174" t="s">
        <v>792</v>
      </c>
      <c r="C225" s="186" t="s">
        <v>445</v>
      </c>
      <c r="D225" s="213"/>
      <c r="E225" s="213"/>
      <c r="F225" s="186" t="s">
        <v>442</v>
      </c>
      <c r="G225" s="197" t="s">
        <v>145</v>
      </c>
      <c r="H225" s="210" t="s">
        <v>146</v>
      </c>
      <c r="I225" s="214"/>
      <c r="J225" s="215"/>
      <c r="K225" s="215"/>
      <c r="L225" s="215"/>
      <c r="M225" s="215"/>
      <c r="N225" s="215" t="s">
        <v>219</v>
      </c>
      <c r="O225" s="215" t="s">
        <v>219</v>
      </c>
      <c r="P225" s="215" t="s">
        <v>219</v>
      </c>
      <c r="Q225" s="216"/>
      <c r="R225" s="215"/>
      <c r="S225" s="215"/>
      <c r="T225" s="186" t="s">
        <v>510</v>
      </c>
      <c r="U225" s="214">
        <v>68</v>
      </c>
      <c r="V225" s="214">
        <v>72.569999999999993</v>
      </c>
      <c r="W225" s="213">
        <v>15.93</v>
      </c>
      <c r="X225" s="217" t="s">
        <v>449</v>
      </c>
      <c r="Y225" s="213">
        <v>11.55</v>
      </c>
      <c r="Z225" s="217" t="s">
        <v>449</v>
      </c>
      <c r="AA225" s="213">
        <v>11.9</v>
      </c>
      <c r="AB225" s="217" t="s">
        <v>449</v>
      </c>
      <c r="AC225" s="213">
        <v>11.9</v>
      </c>
      <c r="AD225" s="217" t="s">
        <v>449</v>
      </c>
      <c r="AE225" s="213">
        <v>11.9</v>
      </c>
      <c r="AF225" s="217" t="s">
        <v>449</v>
      </c>
      <c r="AG225" s="213"/>
      <c r="AH225" s="217" t="s">
        <v>449</v>
      </c>
      <c r="AI225" s="213"/>
      <c r="AJ225" s="217" t="s">
        <v>449</v>
      </c>
      <c r="AK225" s="213"/>
      <c r="AL225" s="217" t="s">
        <v>449</v>
      </c>
      <c r="AM225" s="213"/>
      <c r="AN225" s="217" t="s">
        <v>449</v>
      </c>
      <c r="AO225" s="213">
        <v>2.2400000000000002</v>
      </c>
      <c r="AP225" s="217" t="s">
        <v>449</v>
      </c>
      <c r="AQ225" s="213">
        <v>10.14</v>
      </c>
      <c r="AR225" s="217" t="s">
        <v>449</v>
      </c>
      <c r="AS225" s="213">
        <v>9.89</v>
      </c>
      <c r="AT225" s="217" t="s">
        <v>449</v>
      </c>
      <c r="AU225" s="196">
        <f t="shared" si="20"/>
        <v>85.45</v>
      </c>
      <c r="AV225" s="214">
        <v>0.02</v>
      </c>
      <c r="AW225" s="186">
        <f t="shared" si="21"/>
        <v>0</v>
      </c>
      <c r="AX225" s="186">
        <f t="shared" si="22"/>
        <v>0</v>
      </c>
      <c r="AY225" s="186">
        <f t="shared" si="23"/>
        <v>0</v>
      </c>
      <c r="AZ225" s="186" t="s">
        <v>327</v>
      </c>
    </row>
    <row r="226" spans="1:52" s="208" customFormat="1" ht="15" customHeight="1" x14ac:dyDescent="0.3">
      <c r="A226" s="114">
        <v>215</v>
      </c>
      <c r="B226" s="174" t="s">
        <v>793</v>
      </c>
      <c r="C226" s="186" t="s">
        <v>445</v>
      </c>
      <c r="D226" s="213"/>
      <c r="E226" s="213"/>
      <c r="F226" s="186" t="s">
        <v>442</v>
      </c>
      <c r="G226" s="197" t="s">
        <v>145</v>
      </c>
      <c r="H226" s="210" t="s">
        <v>146</v>
      </c>
      <c r="I226" s="214"/>
      <c r="J226" s="215"/>
      <c r="K226" s="215"/>
      <c r="L226" s="215"/>
      <c r="M226" s="215"/>
      <c r="N226" s="215" t="s">
        <v>219</v>
      </c>
      <c r="O226" s="215" t="s">
        <v>219</v>
      </c>
      <c r="P226" s="215" t="s">
        <v>219</v>
      </c>
      <c r="Q226" s="216"/>
      <c r="R226" s="215"/>
      <c r="S226" s="215"/>
      <c r="T226" s="186" t="s">
        <v>510</v>
      </c>
      <c r="U226" s="214">
        <v>112.83</v>
      </c>
      <c r="V226" s="214">
        <v>115.22</v>
      </c>
      <c r="W226" s="213">
        <v>16.079999999999998</v>
      </c>
      <c r="X226" s="217" t="s">
        <v>449</v>
      </c>
      <c r="Y226" s="213">
        <v>11.5</v>
      </c>
      <c r="Z226" s="217" t="s">
        <v>449</v>
      </c>
      <c r="AA226" s="213">
        <v>11.85</v>
      </c>
      <c r="AB226" s="217" t="s">
        <v>449</v>
      </c>
      <c r="AC226" s="213">
        <v>11.85</v>
      </c>
      <c r="AD226" s="217" t="s">
        <v>449</v>
      </c>
      <c r="AE226" s="213">
        <v>11.85</v>
      </c>
      <c r="AF226" s="217" t="s">
        <v>449</v>
      </c>
      <c r="AG226" s="213"/>
      <c r="AH226" s="217" t="s">
        <v>449</v>
      </c>
      <c r="AI226" s="213"/>
      <c r="AJ226" s="217" t="s">
        <v>449</v>
      </c>
      <c r="AK226" s="213"/>
      <c r="AL226" s="217" t="s">
        <v>449</v>
      </c>
      <c r="AM226" s="213"/>
      <c r="AN226" s="217" t="s">
        <v>449</v>
      </c>
      <c r="AO226" s="213">
        <v>3.7</v>
      </c>
      <c r="AP226" s="217" t="s">
        <v>449</v>
      </c>
      <c r="AQ226" s="213">
        <v>10.85</v>
      </c>
      <c r="AR226" s="217" t="s">
        <v>449</v>
      </c>
      <c r="AS226" s="213">
        <v>10.59</v>
      </c>
      <c r="AT226" s="217" t="s">
        <v>449</v>
      </c>
      <c r="AU226" s="196">
        <f t="shared" si="20"/>
        <v>88.27</v>
      </c>
      <c r="AV226" s="214">
        <v>0.04</v>
      </c>
      <c r="AW226" s="186">
        <f t="shared" si="21"/>
        <v>0</v>
      </c>
      <c r="AX226" s="186">
        <f t="shared" si="22"/>
        <v>0</v>
      </c>
      <c r="AY226" s="186">
        <f t="shared" si="23"/>
        <v>0</v>
      </c>
      <c r="AZ226" s="186" t="s">
        <v>327</v>
      </c>
    </row>
    <row r="227" spans="1:52" s="208" customFormat="1" ht="15" customHeight="1" x14ac:dyDescent="0.3">
      <c r="A227" s="73">
        <v>216</v>
      </c>
      <c r="B227" s="174" t="s">
        <v>794</v>
      </c>
      <c r="C227" s="186" t="s">
        <v>445</v>
      </c>
      <c r="D227" s="213"/>
      <c r="E227" s="213"/>
      <c r="F227" s="186" t="s">
        <v>442</v>
      </c>
      <c r="G227" s="197" t="s">
        <v>145</v>
      </c>
      <c r="H227" s="210" t="s">
        <v>146</v>
      </c>
      <c r="I227" s="214"/>
      <c r="J227" s="215"/>
      <c r="K227" s="215"/>
      <c r="L227" s="215"/>
      <c r="M227" s="215"/>
      <c r="N227" s="215" t="s">
        <v>219</v>
      </c>
      <c r="O227" s="215" t="s">
        <v>219</v>
      </c>
      <c r="P227" s="215" t="s">
        <v>219</v>
      </c>
      <c r="Q227" s="216"/>
      <c r="R227" s="215"/>
      <c r="S227" s="215"/>
      <c r="T227" s="186" t="s">
        <v>510</v>
      </c>
      <c r="U227" s="214">
        <v>112.83</v>
      </c>
      <c r="V227" s="214">
        <v>115.06</v>
      </c>
      <c r="W227" s="213">
        <v>16.16</v>
      </c>
      <c r="X227" s="217" t="s">
        <v>449</v>
      </c>
      <c r="Y227" s="213">
        <v>11.46</v>
      </c>
      <c r="Z227" s="217" t="s">
        <v>449</v>
      </c>
      <c r="AA227" s="213">
        <v>11.81</v>
      </c>
      <c r="AB227" s="217" t="s">
        <v>449</v>
      </c>
      <c r="AC227" s="213">
        <v>11.81</v>
      </c>
      <c r="AD227" s="217" t="s">
        <v>449</v>
      </c>
      <c r="AE227" s="213">
        <v>11.81</v>
      </c>
      <c r="AF227" s="217" t="s">
        <v>449</v>
      </c>
      <c r="AG227" s="213"/>
      <c r="AH227" s="217" t="s">
        <v>449</v>
      </c>
      <c r="AI227" s="213"/>
      <c r="AJ227" s="217" t="s">
        <v>449</v>
      </c>
      <c r="AK227" s="213"/>
      <c r="AL227" s="217" t="s">
        <v>449</v>
      </c>
      <c r="AM227" s="213"/>
      <c r="AN227" s="217" t="s">
        <v>449</v>
      </c>
      <c r="AO227" s="213">
        <v>3.7</v>
      </c>
      <c r="AP227" s="217" t="s">
        <v>449</v>
      </c>
      <c r="AQ227" s="213">
        <v>11.12</v>
      </c>
      <c r="AR227" s="217" t="s">
        <v>449</v>
      </c>
      <c r="AS227" s="213">
        <v>10.85</v>
      </c>
      <c r="AT227" s="217" t="s">
        <v>449</v>
      </c>
      <c r="AU227" s="196">
        <f t="shared" si="20"/>
        <v>88.72</v>
      </c>
      <c r="AV227" s="214">
        <v>0.04</v>
      </c>
      <c r="AW227" s="186">
        <f t="shared" si="21"/>
        <v>0</v>
      </c>
      <c r="AX227" s="186">
        <f t="shared" si="22"/>
        <v>0</v>
      </c>
      <c r="AY227" s="186">
        <f t="shared" si="23"/>
        <v>0</v>
      </c>
      <c r="AZ227" s="186" t="s">
        <v>327</v>
      </c>
    </row>
    <row r="228" spans="1:52" s="208" customFormat="1" ht="15" customHeight="1" x14ac:dyDescent="0.3">
      <c r="A228" s="114">
        <v>217</v>
      </c>
      <c r="B228" s="174" t="s">
        <v>795</v>
      </c>
      <c r="C228" s="186" t="s">
        <v>445</v>
      </c>
      <c r="D228" s="213" t="s">
        <v>288</v>
      </c>
      <c r="E228" s="213" t="s">
        <v>250</v>
      </c>
      <c r="F228" s="186" t="s">
        <v>442</v>
      </c>
      <c r="G228" s="197" t="s">
        <v>145</v>
      </c>
      <c r="H228" s="210" t="s">
        <v>146</v>
      </c>
      <c r="I228" s="214">
        <v>1</v>
      </c>
      <c r="J228" s="215" t="s">
        <v>446</v>
      </c>
      <c r="K228" s="215">
        <v>32</v>
      </c>
      <c r="L228" s="215">
        <v>7.93</v>
      </c>
      <c r="M228" s="215" t="s">
        <v>438</v>
      </c>
      <c r="N228" s="215" t="s">
        <v>219</v>
      </c>
      <c r="O228" s="215" t="s">
        <v>219</v>
      </c>
      <c r="P228" s="215" t="s">
        <v>218</v>
      </c>
      <c r="Q228" s="215" t="s">
        <v>219</v>
      </c>
      <c r="R228" s="215" t="s">
        <v>296</v>
      </c>
      <c r="S228" s="215" t="s">
        <v>219</v>
      </c>
      <c r="T228" s="215" t="s">
        <v>444</v>
      </c>
      <c r="U228" s="214">
        <v>408.1</v>
      </c>
      <c r="V228" s="214">
        <v>390.86</v>
      </c>
      <c r="W228" s="213">
        <v>54.74</v>
      </c>
      <c r="X228" s="217" t="s">
        <v>449</v>
      </c>
      <c r="Y228" s="213">
        <v>54.74</v>
      </c>
      <c r="Z228" s="217" t="s">
        <v>449</v>
      </c>
      <c r="AA228" s="213">
        <v>24.13</v>
      </c>
      <c r="AB228" s="217" t="s">
        <v>449</v>
      </c>
      <c r="AC228" s="213">
        <v>54.74</v>
      </c>
      <c r="AD228" s="217" t="s">
        <v>449</v>
      </c>
      <c r="AE228" s="213">
        <v>54.74</v>
      </c>
      <c r="AF228" s="217" t="s">
        <v>449</v>
      </c>
      <c r="AG228" s="213"/>
      <c r="AH228" s="217" t="s">
        <v>449</v>
      </c>
      <c r="AI228" s="213"/>
      <c r="AJ228" s="217" t="s">
        <v>449</v>
      </c>
      <c r="AK228" s="213"/>
      <c r="AL228" s="217" t="s">
        <v>449</v>
      </c>
      <c r="AM228" s="213"/>
      <c r="AN228" s="213" t="s">
        <v>449</v>
      </c>
      <c r="AO228" s="213">
        <v>35.11</v>
      </c>
      <c r="AP228" s="217" t="s">
        <v>207</v>
      </c>
      <c r="AQ228" s="213">
        <v>37.71</v>
      </c>
      <c r="AR228" s="213" t="s">
        <v>207</v>
      </c>
      <c r="AS228" s="213">
        <v>42.98</v>
      </c>
      <c r="AT228" s="217" t="s">
        <v>207</v>
      </c>
      <c r="AU228" s="196">
        <f t="shared" si="20"/>
        <v>358.89000000000004</v>
      </c>
      <c r="AV228" s="214">
        <v>0.2</v>
      </c>
      <c r="AW228" s="186" t="str">
        <f t="shared" si="21"/>
        <v>150/70</v>
      </c>
      <c r="AX228" s="186" t="str">
        <f t="shared" si="22"/>
        <v>зависимая</v>
      </c>
      <c r="AY228" s="186">
        <f t="shared" si="23"/>
        <v>1</v>
      </c>
      <c r="AZ228" s="186" t="s">
        <v>440</v>
      </c>
    </row>
    <row r="229" spans="1:52" s="208" customFormat="1" ht="15" customHeight="1" x14ac:dyDescent="0.3">
      <c r="A229" s="114">
        <v>218</v>
      </c>
      <c r="B229" s="174" t="s">
        <v>796</v>
      </c>
      <c r="C229" s="173" t="s">
        <v>441</v>
      </c>
      <c r="D229" s="173" t="s">
        <v>288</v>
      </c>
      <c r="E229" s="173" t="s">
        <v>205</v>
      </c>
      <c r="F229" s="173" t="s">
        <v>447</v>
      </c>
      <c r="G229" s="197" t="s">
        <v>145</v>
      </c>
      <c r="H229" s="198" t="s">
        <v>146</v>
      </c>
      <c r="I229" s="198">
        <v>1</v>
      </c>
      <c r="J229" s="200" t="s">
        <v>437</v>
      </c>
      <c r="K229" s="198">
        <v>32</v>
      </c>
      <c r="L229" s="232">
        <v>7</v>
      </c>
      <c r="M229" s="200" t="s">
        <v>438</v>
      </c>
      <c r="N229" s="200" t="s">
        <v>218</v>
      </c>
      <c r="O229" s="200" t="s">
        <v>219</v>
      </c>
      <c r="P229" s="200" t="s">
        <v>218</v>
      </c>
      <c r="Q229" s="215" t="s">
        <v>219</v>
      </c>
      <c r="R229" s="200" t="s">
        <v>511</v>
      </c>
      <c r="S229" s="200" t="s">
        <v>219</v>
      </c>
      <c r="T229" s="200"/>
      <c r="U229" s="198">
        <v>1233.1500000000001</v>
      </c>
      <c r="V229" s="198">
        <v>1191.75</v>
      </c>
      <c r="W229" s="173">
        <v>129.32</v>
      </c>
      <c r="X229" s="173" t="s">
        <v>207</v>
      </c>
      <c r="Y229" s="173">
        <v>105.89</v>
      </c>
      <c r="Z229" s="173" t="s">
        <v>207</v>
      </c>
      <c r="AA229" s="173">
        <v>102.59</v>
      </c>
      <c r="AB229" s="173" t="s">
        <v>207</v>
      </c>
      <c r="AC229" s="173">
        <v>83.72</v>
      </c>
      <c r="AD229" s="173" t="s">
        <v>207</v>
      </c>
      <c r="AE229" s="173">
        <v>46.03</v>
      </c>
      <c r="AF229" s="173" t="s">
        <v>207</v>
      </c>
      <c r="AG229" s="173">
        <v>25.79</v>
      </c>
      <c r="AH229" s="173" t="s">
        <v>207</v>
      </c>
      <c r="AI229" s="173">
        <v>13.74</v>
      </c>
      <c r="AJ229" s="173" t="s">
        <v>207</v>
      </c>
      <c r="AK229" s="173">
        <v>16.170000000000002</v>
      </c>
      <c r="AL229" s="173" t="s">
        <v>207</v>
      </c>
      <c r="AM229" s="173">
        <v>21.68</v>
      </c>
      <c r="AN229" s="173" t="s">
        <v>207</v>
      </c>
      <c r="AO229" s="173">
        <v>65.23</v>
      </c>
      <c r="AP229" s="173" t="s">
        <v>207</v>
      </c>
      <c r="AQ229" s="173">
        <v>67.7</v>
      </c>
      <c r="AR229" s="173" t="s">
        <v>207</v>
      </c>
      <c r="AS229" s="173">
        <v>93.01</v>
      </c>
      <c r="AT229" s="173" t="s">
        <v>207</v>
      </c>
      <c r="AU229" s="196">
        <f t="shared" si="20"/>
        <v>770.87</v>
      </c>
      <c r="AV229" s="204">
        <v>0.26</v>
      </c>
      <c r="AW229" s="173" t="s">
        <v>438</v>
      </c>
      <c r="AX229" s="173" t="s">
        <v>296</v>
      </c>
      <c r="AY229" s="173">
        <v>1</v>
      </c>
      <c r="AZ229" s="173" t="s">
        <v>440</v>
      </c>
    </row>
    <row r="230" spans="1:52" s="208" customFormat="1" ht="15" customHeight="1" x14ac:dyDescent="0.3">
      <c r="A230" s="114">
        <v>219</v>
      </c>
      <c r="B230" s="174" t="s">
        <v>797</v>
      </c>
      <c r="C230" s="173" t="s">
        <v>441</v>
      </c>
      <c r="D230" s="173" t="s">
        <v>288</v>
      </c>
      <c r="E230" s="173" t="s">
        <v>289</v>
      </c>
      <c r="F230" s="173" t="s">
        <v>447</v>
      </c>
      <c r="G230" s="197" t="s">
        <v>145</v>
      </c>
      <c r="H230" s="198" t="s">
        <v>146</v>
      </c>
      <c r="I230" s="198">
        <v>1</v>
      </c>
      <c r="J230" s="200" t="s">
        <v>437</v>
      </c>
      <c r="K230" s="198">
        <v>20</v>
      </c>
      <c r="L230" s="202">
        <v>6.5</v>
      </c>
      <c r="M230" s="200" t="s">
        <v>438</v>
      </c>
      <c r="N230" s="200" t="s">
        <v>219</v>
      </c>
      <c r="O230" s="200" t="s">
        <v>219</v>
      </c>
      <c r="P230" s="200" t="s">
        <v>218</v>
      </c>
      <c r="Q230" s="215" t="s">
        <v>219</v>
      </c>
      <c r="R230" s="200" t="s">
        <v>511</v>
      </c>
      <c r="S230" s="200" t="s">
        <v>219</v>
      </c>
      <c r="T230" s="200"/>
      <c r="U230" s="198">
        <v>380.58</v>
      </c>
      <c r="V230" s="198">
        <v>359.9</v>
      </c>
      <c r="W230" s="173">
        <v>51.68</v>
      </c>
      <c r="X230" s="173" t="s">
        <v>207</v>
      </c>
      <c r="Y230" s="173">
        <v>40.79</v>
      </c>
      <c r="Z230" s="173" t="s">
        <v>207</v>
      </c>
      <c r="AA230" s="173">
        <v>27.04</v>
      </c>
      <c r="AB230" s="173" t="s">
        <v>207</v>
      </c>
      <c r="AC230" s="173">
        <v>31.7</v>
      </c>
      <c r="AD230" s="173" t="s">
        <v>207</v>
      </c>
      <c r="AE230" s="173">
        <v>8.73</v>
      </c>
      <c r="AF230" s="173" t="s">
        <v>207</v>
      </c>
      <c r="AG230" s="204"/>
      <c r="AH230" s="173" t="s">
        <v>207</v>
      </c>
      <c r="AI230" s="204"/>
      <c r="AJ230" s="173" t="s">
        <v>207</v>
      </c>
      <c r="AK230" s="204"/>
      <c r="AL230" s="173" t="s">
        <v>207</v>
      </c>
      <c r="AM230" s="204"/>
      <c r="AN230" s="173" t="s">
        <v>207</v>
      </c>
      <c r="AO230" s="173">
        <v>22.54</v>
      </c>
      <c r="AP230" s="173" t="s">
        <v>207</v>
      </c>
      <c r="AQ230" s="173">
        <v>24.45</v>
      </c>
      <c r="AR230" s="173" t="s">
        <v>207</v>
      </c>
      <c r="AS230" s="173">
        <v>36.770000000000003</v>
      </c>
      <c r="AT230" s="173" t="s">
        <v>207</v>
      </c>
      <c r="AU230" s="196">
        <f t="shared" si="20"/>
        <v>243.69999999999996</v>
      </c>
      <c r="AV230" s="204">
        <v>0.14199999999999999</v>
      </c>
      <c r="AW230" s="173" t="s">
        <v>438</v>
      </c>
      <c r="AX230" s="173" t="s">
        <v>296</v>
      </c>
      <c r="AY230" s="173">
        <v>1</v>
      </c>
      <c r="AZ230" s="173" t="s">
        <v>440</v>
      </c>
    </row>
    <row r="231" spans="1:52" s="180" customFormat="1" ht="15" customHeight="1" x14ac:dyDescent="0.3">
      <c r="A231" s="114">
        <v>220</v>
      </c>
      <c r="B231" s="174" t="s">
        <v>802</v>
      </c>
      <c r="C231" s="152" t="s">
        <v>804</v>
      </c>
      <c r="D231" s="152" t="s">
        <v>288</v>
      </c>
      <c r="E231" s="152" t="s">
        <v>264</v>
      </c>
      <c r="F231" s="152" t="s">
        <v>805</v>
      </c>
      <c r="G231" s="175" t="s">
        <v>145</v>
      </c>
      <c r="H231" s="176" t="s">
        <v>146</v>
      </c>
      <c r="I231" s="176">
        <v>1</v>
      </c>
      <c r="J231" s="177" t="s">
        <v>252</v>
      </c>
      <c r="K231" s="177" t="s">
        <v>806</v>
      </c>
      <c r="L231" s="177">
        <v>7.9</v>
      </c>
      <c r="M231" s="177" t="s">
        <v>438</v>
      </c>
      <c r="N231" s="177" t="s">
        <v>218</v>
      </c>
      <c r="O231" s="177"/>
      <c r="P231" s="177" t="s">
        <v>218</v>
      </c>
      <c r="Q231" s="178" t="s">
        <v>218</v>
      </c>
      <c r="R231" s="177" t="s">
        <v>296</v>
      </c>
      <c r="S231" s="177"/>
      <c r="T231" s="177"/>
      <c r="U231" s="176">
        <v>3055.55</v>
      </c>
      <c r="V231" s="176">
        <v>2993.33</v>
      </c>
      <c r="W231" s="152">
        <v>472.99</v>
      </c>
      <c r="X231" s="152"/>
      <c r="Y231" s="152">
        <v>343.24</v>
      </c>
      <c r="Z231" s="152"/>
      <c r="AA231" s="152">
        <v>482.12</v>
      </c>
      <c r="AB231" s="152"/>
      <c r="AC231" s="152">
        <v>303.77</v>
      </c>
      <c r="AD231" s="152"/>
      <c r="AE231" s="152">
        <v>138.47</v>
      </c>
      <c r="AF231" s="152"/>
      <c r="AG231" s="152">
        <v>81.12</v>
      </c>
      <c r="AH231" s="152"/>
      <c r="AI231" s="152">
        <v>68.150000000000006</v>
      </c>
      <c r="AJ231" s="152"/>
      <c r="AK231" s="152">
        <v>67.55</v>
      </c>
      <c r="AL231" s="152"/>
      <c r="AM231" s="152">
        <v>87.88</v>
      </c>
      <c r="AN231" s="152"/>
      <c r="AO231" s="152">
        <v>321.41000000000003</v>
      </c>
      <c r="AP231" s="152"/>
      <c r="AQ231" s="152">
        <v>306.08999999999997</v>
      </c>
      <c r="AR231" s="152"/>
      <c r="AS231" s="152">
        <v>383.98</v>
      </c>
      <c r="AT231" s="152"/>
      <c r="AU231" s="152">
        <v>9105.65</v>
      </c>
      <c r="AV231" s="152" t="s">
        <v>807</v>
      </c>
      <c r="AW231" s="152" t="s">
        <v>438</v>
      </c>
      <c r="AX231" s="152" t="s">
        <v>296</v>
      </c>
      <c r="AY231" s="152" t="s">
        <v>808</v>
      </c>
      <c r="AZ231" s="233"/>
    </row>
    <row r="232" spans="1:52" s="205" customFormat="1" ht="15" customHeight="1" x14ac:dyDescent="0.3">
      <c r="A232" s="114">
        <v>221</v>
      </c>
      <c r="B232" s="174" t="s">
        <v>803</v>
      </c>
      <c r="C232" s="186" t="s">
        <v>818</v>
      </c>
      <c r="D232" s="186" t="s">
        <v>204</v>
      </c>
      <c r="E232" s="186" t="s">
        <v>250</v>
      </c>
      <c r="F232" s="186" t="s">
        <v>819</v>
      </c>
      <c r="G232" s="234" t="s">
        <v>145</v>
      </c>
      <c r="H232" s="140" t="s">
        <v>146</v>
      </c>
      <c r="I232" s="140">
        <v>1</v>
      </c>
      <c r="J232" s="186"/>
      <c r="K232" s="186"/>
      <c r="L232" s="186"/>
      <c r="M232" s="186"/>
      <c r="N232" s="186"/>
      <c r="O232" s="186"/>
      <c r="P232" s="186"/>
      <c r="Q232" s="235"/>
      <c r="R232" s="186"/>
      <c r="S232" s="186"/>
      <c r="T232" s="186"/>
      <c r="U232" s="140">
        <v>1337.32</v>
      </c>
      <c r="V232" s="140">
        <v>1391.73</v>
      </c>
      <c r="W232" s="186">
        <v>229.26</v>
      </c>
      <c r="X232" s="186" t="s">
        <v>207</v>
      </c>
      <c r="Y232" s="186">
        <v>192.03</v>
      </c>
      <c r="Z232" s="186" t="s">
        <v>207</v>
      </c>
      <c r="AA232" s="186">
        <v>219.05</v>
      </c>
      <c r="AB232" s="186" t="s">
        <v>207</v>
      </c>
      <c r="AC232" s="186">
        <v>120.17</v>
      </c>
      <c r="AD232" s="186" t="s">
        <v>207</v>
      </c>
      <c r="AE232" s="186">
        <v>58.91</v>
      </c>
      <c r="AF232" s="186" t="s">
        <v>207</v>
      </c>
      <c r="AG232" s="186" t="s">
        <v>820</v>
      </c>
      <c r="AH232" s="186" t="s">
        <v>207</v>
      </c>
      <c r="AI232" s="186">
        <v>26.97</v>
      </c>
      <c r="AJ232" s="186" t="s">
        <v>207</v>
      </c>
      <c r="AK232" s="186" t="s">
        <v>821</v>
      </c>
      <c r="AL232" s="186"/>
      <c r="AM232" s="186">
        <v>23.33</v>
      </c>
      <c r="AN232" s="186" t="s">
        <v>515</v>
      </c>
      <c r="AO232" s="186">
        <v>139.74</v>
      </c>
      <c r="AP232" s="186" t="s">
        <v>515</v>
      </c>
      <c r="AQ232" s="186">
        <v>124.45</v>
      </c>
      <c r="AR232" s="186" t="s">
        <v>515</v>
      </c>
      <c r="AS232" s="186">
        <v>161.97</v>
      </c>
      <c r="AT232" s="186" t="s">
        <v>515</v>
      </c>
      <c r="AU232" s="186">
        <v>1267.0999999999999</v>
      </c>
      <c r="AV232" s="186">
        <v>6.4</v>
      </c>
      <c r="AW232" s="186" t="s">
        <v>822</v>
      </c>
      <c r="AX232" s="186" t="s">
        <v>296</v>
      </c>
      <c r="AY232" s="186">
        <v>1</v>
      </c>
      <c r="AZ232" s="186" t="s">
        <v>297</v>
      </c>
    </row>
    <row r="233" spans="1:52" ht="15" customHeight="1" x14ac:dyDescent="0.3">
      <c r="A233" s="114">
        <v>222</v>
      </c>
      <c r="B233" s="174" t="s">
        <v>836</v>
      </c>
      <c r="C233" s="12"/>
      <c r="D233" s="12"/>
      <c r="E233" s="12"/>
      <c r="F233" s="12"/>
      <c r="G233" s="25" t="s">
        <v>145</v>
      </c>
      <c r="H233" s="23" t="s">
        <v>146</v>
      </c>
      <c r="I233" s="2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24"/>
      <c r="V233" s="24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</row>
    <row r="234" spans="1:52" ht="15" customHeight="1" x14ac:dyDescent="0.3">
      <c r="A234" s="114">
        <v>223</v>
      </c>
      <c r="B234" s="174" t="s">
        <v>837</v>
      </c>
      <c r="C234" s="12"/>
      <c r="D234" s="12"/>
      <c r="E234" s="12"/>
      <c r="F234" s="12"/>
      <c r="G234" s="25" t="s">
        <v>145</v>
      </c>
      <c r="H234" s="23" t="s">
        <v>146</v>
      </c>
      <c r="I234" s="2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24"/>
      <c r="V234" s="24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</row>
    <row r="235" spans="1:52" ht="15" customHeight="1" x14ac:dyDescent="0.3">
      <c r="A235" s="114">
        <v>224</v>
      </c>
      <c r="B235" s="174" t="s">
        <v>838</v>
      </c>
      <c r="C235" s="12"/>
      <c r="D235" s="12"/>
      <c r="E235" s="12"/>
      <c r="F235" s="12"/>
      <c r="G235" s="25" t="s">
        <v>145</v>
      </c>
      <c r="H235" s="23" t="s">
        <v>146</v>
      </c>
      <c r="I235" s="2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24"/>
      <c r="V235" s="24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</row>
    <row r="236" spans="1:52" ht="15" customHeight="1" x14ac:dyDescent="0.3">
      <c r="A236" s="114">
        <v>225</v>
      </c>
      <c r="B236" s="174" t="s">
        <v>839</v>
      </c>
      <c r="C236" s="12"/>
      <c r="D236" s="12"/>
      <c r="E236" s="12"/>
      <c r="F236" s="12"/>
      <c r="G236" s="25" t="s">
        <v>145</v>
      </c>
      <c r="H236" s="23" t="s">
        <v>146</v>
      </c>
      <c r="I236" s="2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24"/>
      <c r="V236" s="24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</row>
    <row r="237" spans="1:52" ht="15" customHeight="1" x14ac:dyDescent="0.3">
      <c r="A237" s="114">
        <v>226</v>
      </c>
      <c r="B237" s="174" t="s">
        <v>840</v>
      </c>
      <c r="C237" s="12"/>
      <c r="D237" s="12"/>
      <c r="E237" s="12"/>
      <c r="F237" s="12"/>
      <c r="G237" s="25" t="s">
        <v>145</v>
      </c>
      <c r="H237" s="23" t="s">
        <v>146</v>
      </c>
      <c r="I237" s="2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24"/>
      <c r="V237" s="24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</row>
    <row r="238" spans="1:52" ht="15" customHeight="1" x14ac:dyDescent="0.3">
      <c r="A238" s="114">
        <v>227</v>
      </c>
      <c r="B238" s="174" t="s">
        <v>841</v>
      </c>
      <c r="C238" s="12"/>
      <c r="D238" s="12"/>
      <c r="E238" s="12"/>
      <c r="F238" s="12"/>
      <c r="G238" s="25" t="s">
        <v>145</v>
      </c>
      <c r="H238" s="23" t="s">
        <v>146</v>
      </c>
      <c r="I238" s="2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24"/>
      <c r="V238" s="24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</row>
    <row r="239" spans="1:52" ht="15" customHeight="1" x14ac:dyDescent="0.3">
      <c r="A239" s="114">
        <v>228</v>
      </c>
      <c r="B239" s="174" t="s">
        <v>842</v>
      </c>
      <c r="C239" s="12"/>
      <c r="D239" s="12"/>
      <c r="E239" s="12"/>
      <c r="F239" s="12"/>
      <c r="G239" s="25" t="s">
        <v>145</v>
      </c>
      <c r="H239" s="23" t="s">
        <v>146</v>
      </c>
      <c r="I239" s="2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24"/>
      <c r="V239" s="24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</row>
    <row r="240" spans="1:52" ht="15" customHeight="1" x14ac:dyDescent="0.3">
      <c r="A240" s="114">
        <v>229</v>
      </c>
      <c r="B240" s="174" t="s">
        <v>843</v>
      </c>
      <c r="C240" s="12"/>
      <c r="D240" s="12"/>
      <c r="E240" s="12"/>
      <c r="F240" s="12"/>
      <c r="G240" s="25" t="s">
        <v>145</v>
      </c>
      <c r="H240" s="23" t="s">
        <v>146</v>
      </c>
      <c r="I240" s="2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24"/>
      <c r="V240" s="24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</row>
    <row r="241" spans="1:52" ht="15" customHeight="1" x14ac:dyDescent="0.3">
      <c r="A241" s="114">
        <v>230</v>
      </c>
      <c r="B241" s="174" t="s">
        <v>844</v>
      </c>
      <c r="C241" s="12"/>
      <c r="D241" s="12"/>
      <c r="E241" s="12"/>
      <c r="F241" s="12"/>
      <c r="G241" s="25" t="s">
        <v>145</v>
      </c>
      <c r="H241" s="23" t="s">
        <v>146</v>
      </c>
      <c r="I241" s="2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24"/>
      <c r="V241" s="24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</row>
    <row r="242" spans="1:52" ht="15" customHeight="1" x14ac:dyDescent="0.3">
      <c r="A242" s="114">
        <v>231</v>
      </c>
      <c r="B242" s="174" t="s">
        <v>845</v>
      </c>
      <c r="C242" s="12"/>
      <c r="D242" s="12"/>
      <c r="E242" s="12"/>
      <c r="F242" s="12"/>
      <c r="G242" s="25" t="s">
        <v>145</v>
      </c>
      <c r="H242" s="23" t="s">
        <v>146</v>
      </c>
      <c r="I242" s="2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24"/>
      <c r="V242" s="24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</row>
    <row r="243" spans="1:52" ht="15" customHeight="1" x14ac:dyDescent="0.3">
      <c r="A243" s="114">
        <v>232</v>
      </c>
      <c r="B243" s="174" t="s">
        <v>846</v>
      </c>
      <c r="C243" s="12"/>
      <c r="D243" s="12"/>
      <c r="E243" s="12"/>
      <c r="F243" s="12"/>
      <c r="G243" s="25" t="s">
        <v>145</v>
      </c>
      <c r="H243" s="23" t="s">
        <v>146</v>
      </c>
      <c r="I243" s="2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24"/>
      <c r="V243" s="24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</row>
    <row r="244" spans="1:52" ht="15" customHeight="1" x14ac:dyDescent="0.3">
      <c r="A244" s="114">
        <v>233</v>
      </c>
      <c r="B244" s="174" t="s">
        <v>847</v>
      </c>
      <c r="C244" s="12"/>
      <c r="D244" s="12"/>
      <c r="E244" s="12"/>
      <c r="F244" s="12"/>
      <c r="G244" s="25" t="s">
        <v>145</v>
      </c>
      <c r="H244" s="23" t="s">
        <v>146</v>
      </c>
      <c r="I244" s="2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24"/>
      <c r="V244" s="24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</row>
    <row r="245" spans="1:52" ht="15" customHeight="1" x14ac:dyDescent="0.3">
      <c r="A245" s="114">
        <v>234</v>
      </c>
      <c r="B245" s="174" t="s">
        <v>848</v>
      </c>
      <c r="C245" s="12"/>
      <c r="D245" s="12"/>
      <c r="E245" s="12"/>
      <c r="F245" s="12"/>
      <c r="G245" s="25" t="s">
        <v>145</v>
      </c>
      <c r="H245" s="23" t="s">
        <v>146</v>
      </c>
      <c r="I245" s="2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24"/>
      <c r="V245" s="24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</row>
    <row r="246" spans="1:52" ht="15" customHeight="1" x14ac:dyDescent="0.3">
      <c r="A246" s="114">
        <v>235</v>
      </c>
      <c r="B246" s="174" t="s">
        <v>849</v>
      </c>
      <c r="C246" s="12"/>
      <c r="D246" s="12"/>
      <c r="E246" s="12"/>
      <c r="F246" s="12"/>
      <c r="G246" s="25" t="s">
        <v>145</v>
      </c>
      <c r="H246" s="23" t="s">
        <v>146</v>
      </c>
      <c r="I246" s="2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24"/>
      <c r="V246" s="24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</row>
    <row r="247" spans="1:52" ht="15" customHeight="1" x14ac:dyDescent="0.3">
      <c r="A247" s="114">
        <v>236</v>
      </c>
      <c r="B247" s="174" t="s">
        <v>850</v>
      </c>
      <c r="C247" s="12"/>
      <c r="D247" s="12"/>
      <c r="E247" s="12"/>
      <c r="F247" s="12"/>
      <c r="G247" s="25" t="s">
        <v>145</v>
      </c>
      <c r="H247" s="23" t="s">
        <v>146</v>
      </c>
      <c r="I247" s="2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24"/>
      <c r="V247" s="24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</row>
    <row r="248" spans="1:52" ht="15" customHeight="1" x14ac:dyDescent="0.3">
      <c r="A248" s="114">
        <v>237</v>
      </c>
      <c r="B248" s="174" t="s">
        <v>851</v>
      </c>
      <c r="C248" s="12"/>
      <c r="D248" s="12"/>
      <c r="E248" s="12"/>
      <c r="F248" s="12"/>
      <c r="G248" s="25" t="s">
        <v>145</v>
      </c>
      <c r="H248" s="23" t="s">
        <v>146</v>
      </c>
      <c r="I248" s="2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24"/>
      <c r="V248" s="24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</row>
    <row r="249" spans="1:52" ht="15" customHeight="1" x14ac:dyDescent="0.3">
      <c r="A249" s="114">
        <v>238</v>
      </c>
      <c r="B249" s="174" t="s">
        <v>852</v>
      </c>
      <c r="C249" s="12"/>
      <c r="D249" s="12"/>
      <c r="E249" s="12"/>
      <c r="F249" s="12"/>
      <c r="G249" s="25" t="s">
        <v>145</v>
      </c>
      <c r="H249" s="23" t="s">
        <v>146</v>
      </c>
      <c r="I249" s="2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24"/>
      <c r="V249" s="24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</row>
    <row r="250" spans="1:52" ht="15" customHeight="1" x14ac:dyDescent="0.3">
      <c r="A250" s="114">
        <v>239</v>
      </c>
      <c r="B250" s="174" t="s">
        <v>853</v>
      </c>
      <c r="C250" s="12"/>
      <c r="D250" s="12"/>
      <c r="E250" s="12"/>
      <c r="F250" s="12"/>
      <c r="G250" s="25" t="s">
        <v>145</v>
      </c>
      <c r="H250" s="23" t="s">
        <v>146</v>
      </c>
      <c r="I250" s="2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24"/>
      <c r="V250" s="24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</row>
    <row r="251" spans="1:52" ht="15" customHeight="1" x14ac:dyDescent="0.3">
      <c r="A251" s="114">
        <v>240</v>
      </c>
      <c r="B251" s="174" t="s">
        <v>854</v>
      </c>
      <c r="C251" s="12"/>
      <c r="D251" s="12"/>
      <c r="E251" s="12"/>
      <c r="F251" s="12"/>
      <c r="G251" s="25" t="s">
        <v>145</v>
      </c>
      <c r="H251" s="23" t="s">
        <v>146</v>
      </c>
      <c r="I251" s="2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24"/>
      <c r="V251" s="24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</row>
    <row r="252" spans="1:52" ht="15" customHeight="1" x14ac:dyDescent="0.3">
      <c r="A252" s="114">
        <v>241</v>
      </c>
      <c r="B252" s="174" t="s">
        <v>855</v>
      </c>
      <c r="C252" s="12"/>
      <c r="D252" s="12"/>
      <c r="E252" s="12"/>
      <c r="F252" s="12"/>
      <c r="G252" s="25" t="s">
        <v>145</v>
      </c>
      <c r="H252" s="23" t="s">
        <v>146</v>
      </c>
      <c r="I252" s="2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24"/>
      <c r="V252" s="24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</row>
    <row r="253" spans="1:52" ht="15" customHeight="1" x14ac:dyDescent="0.3">
      <c r="A253" s="114">
        <v>242</v>
      </c>
      <c r="B253" s="174" t="s">
        <v>856</v>
      </c>
      <c r="C253" s="12"/>
      <c r="D253" s="12"/>
      <c r="E253" s="12"/>
      <c r="F253" s="12"/>
      <c r="G253" s="25" t="s">
        <v>145</v>
      </c>
      <c r="H253" s="23" t="s">
        <v>146</v>
      </c>
      <c r="I253" s="2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24"/>
      <c r="V253" s="24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</row>
    <row r="254" spans="1:52" ht="15" customHeight="1" x14ac:dyDescent="0.3">
      <c r="A254" s="114">
        <v>243</v>
      </c>
      <c r="B254" s="174" t="s">
        <v>857</v>
      </c>
      <c r="C254" s="12"/>
      <c r="D254" s="12"/>
      <c r="E254" s="12"/>
      <c r="F254" s="12"/>
      <c r="G254" s="25" t="s">
        <v>145</v>
      </c>
      <c r="H254" s="23" t="s">
        <v>146</v>
      </c>
      <c r="I254" s="2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24"/>
      <c r="V254" s="24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</row>
    <row r="255" spans="1:52" ht="15" customHeight="1" x14ac:dyDescent="0.3">
      <c r="A255" s="114">
        <v>244</v>
      </c>
      <c r="B255" s="174" t="s">
        <v>858</v>
      </c>
      <c r="C255" s="12"/>
      <c r="D255" s="12"/>
      <c r="E255" s="12"/>
      <c r="F255" s="12"/>
      <c r="G255" s="25" t="s">
        <v>145</v>
      </c>
      <c r="H255" s="23" t="s">
        <v>146</v>
      </c>
      <c r="I255" s="2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24"/>
      <c r="V255" s="24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</row>
    <row r="256" spans="1:52" ht="15" customHeight="1" x14ac:dyDescent="0.3">
      <c r="A256" s="114">
        <v>245</v>
      </c>
      <c r="B256" s="174" t="s">
        <v>859</v>
      </c>
      <c r="C256" s="12"/>
      <c r="D256" s="12"/>
      <c r="E256" s="12"/>
      <c r="F256" s="12"/>
      <c r="G256" s="25" t="s">
        <v>145</v>
      </c>
      <c r="H256" s="23" t="s">
        <v>146</v>
      </c>
      <c r="I256" s="2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24"/>
      <c r="V256" s="24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</row>
    <row r="257" spans="1:52" ht="15" customHeight="1" x14ac:dyDescent="0.3">
      <c r="A257" s="114">
        <v>246</v>
      </c>
      <c r="B257" s="174" t="s">
        <v>860</v>
      </c>
      <c r="C257" s="12"/>
      <c r="D257" s="12"/>
      <c r="E257" s="12"/>
      <c r="F257" s="12"/>
      <c r="G257" s="25" t="s">
        <v>145</v>
      </c>
      <c r="H257" s="23" t="s">
        <v>146</v>
      </c>
      <c r="I257" s="2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24"/>
      <c r="V257" s="24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</row>
    <row r="258" spans="1:52" ht="15" customHeight="1" x14ac:dyDescent="0.3">
      <c r="A258" s="114">
        <v>247</v>
      </c>
      <c r="B258" s="174" t="s">
        <v>861</v>
      </c>
      <c r="C258" s="12"/>
      <c r="D258" s="12"/>
      <c r="E258" s="12"/>
      <c r="F258" s="12"/>
      <c r="G258" s="25" t="s">
        <v>145</v>
      </c>
      <c r="H258" s="23" t="s">
        <v>146</v>
      </c>
      <c r="I258" s="2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24"/>
      <c r="V258" s="24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</row>
    <row r="259" spans="1:52" ht="15" customHeight="1" x14ac:dyDescent="0.3">
      <c r="A259" s="114">
        <v>248</v>
      </c>
      <c r="B259" s="174" t="s">
        <v>862</v>
      </c>
      <c r="C259" s="12"/>
      <c r="D259" s="12"/>
      <c r="E259" s="12"/>
      <c r="F259" s="12"/>
      <c r="G259" s="25" t="s">
        <v>145</v>
      </c>
      <c r="H259" s="23" t="s">
        <v>146</v>
      </c>
      <c r="I259" s="2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24"/>
      <c r="V259" s="24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</row>
    <row r="260" spans="1:52" ht="15" customHeight="1" x14ac:dyDescent="0.3">
      <c r="A260" s="114">
        <v>249</v>
      </c>
      <c r="B260" s="174" t="s">
        <v>863</v>
      </c>
      <c r="C260" s="12"/>
      <c r="D260" s="12"/>
      <c r="E260" s="12"/>
      <c r="F260" s="12"/>
      <c r="G260" s="25" t="s">
        <v>145</v>
      </c>
      <c r="H260" s="23" t="s">
        <v>146</v>
      </c>
      <c r="I260" s="2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24"/>
      <c r="V260" s="24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</row>
    <row r="261" spans="1:52" ht="15" customHeight="1" x14ac:dyDescent="0.3">
      <c r="A261" s="114">
        <v>250</v>
      </c>
      <c r="B261" s="174" t="s">
        <v>864</v>
      </c>
      <c r="C261" s="12"/>
      <c r="D261" s="12"/>
      <c r="E261" s="12"/>
      <c r="F261" s="12"/>
      <c r="G261" s="25" t="s">
        <v>145</v>
      </c>
      <c r="H261" s="23" t="s">
        <v>146</v>
      </c>
      <c r="I261" s="2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24"/>
      <c r="V261" s="24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</row>
    <row r="262" spans="1:52" ht="15" customHeight="1" x14ac:dyDescent="0.3">
      <c r="A262" s="114">
        <v>251</v>
      </c>
      <c r="B262" s="174" t="s">
        <v>865</v>
      </c>
      <c r="C262" s="12"/>
      <c r="D262" s="12"/>
      <c r="E262" s="12"/>
      <c r="F262" s="12"/>
      <c r="G262" s="25" t="s">
        <v>145</v>
      </c>
      <c r="H262" s="23" t="s">
        <v>146</v>
      </c>
      <c r="I262" s="2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24"/>
      <c r="V262" s="24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</row>
    <row r="263" spans="1:52" ht="15" customHeight="1" x14ac:dyDescent="0.3">
      <c r="A263" s="114">
        <v>252</v>
      </c>
      <c r="B263" s="174" t="s">
        <v>866</v>
      </c>
      <c r="C263" s="12"/>
      <c r="D263" s="12"/>
      <c r="E263" s="12"/>
      <c r="F263" s="12"/>
      <c r="G263" s="25" t="s">
        <v>145</v>
      </c>
      <c r="H263" s="23" t="s">
        <v>146</v>
      </c>
      <c r="I263" s="2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24"/>
      <c r="V263" s="24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</row>
    <row r="264" spans="1:52" ht="15" customHeight="1" x14ac:dyDescent="0.3">
      <c r="A264" s="114">
        <v>253</v>
      </c>
      <c r="B264" s="174" t="s">
        <v>867</v>
      </c>
      <c r="C264" s="12"/>
      <c r="D264" s="12"/>
      <c r="E264" s="12"/>
      <c r="F264" s="12"/>
      <c r="G264" s="25" t="s">
        <v>145</v>
      </c>
      <c r="H264" s="23" t="s">
        <v>146</v>
      </c>
      <c r="I264" s="2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24"/>
      <c r="V264" s="24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</row>
    <row r="265" spans="1:52" ht="15" customHeight="1" x14ac:dyDescent="0.3">
      <c r="A265" s="114">
        <v>254</v>
      </c>
      <c r="B265" s="174" t="s">
        <v>868</v>
      </c>
      <c r="C265" s="12"/>
      <c r="D265" s="12"/>
      <c r="E265" s="12"/>
      <c r="F265" s="12"/>
      <c r="G265" s="25" t="s">
        <v>145</v>
      </c>
      <c r="H265" s="23" t="s">
        <v>146</v>
      </c>
      <c r="I265" s="2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24"/>
      <c r="V265" s="24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</row>
    <row r="266" spans="1:52" ht="15" customHeight="1" x14ac:dyDescent="0.3">
      <c r="A266" s="114">
        <v>255</v>
      </c>
      <c r="B266" s="174" t="s">
        <v>869</v>
      </c>
      <c r="C266" s="12"/>
      <c r="D266" s="12"/>
      <c r="E266" s="12"/>
      <c r="F266" s="12"/>
      <c r="G266" s="25" t="s">
        <v>145</v>
      </c>
      <c r="H266" s="23" t="s">
        <v>146</v>
      </c>
      <c r="I266" s="2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24"/>
      <c r="V266" s="24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</row>
    <row r="267" spans="1:52" ht="15" customHeight="1" x14ac:dyDescent="0.3">
      <c r="A267" s="114">
        <v>256</v>
      </c>
      <c r="B267" s="174" t="s">
        <v>870</v>
      </c>
      <c r="C267" s="12"/>
      <c r="D267" s="12"/>
      <c r="E267" s="12"/>
      <c r="F267" s="12"/>
      <c r="G267" s="25" t="s">
        <v>145</v>
      </c>
      <c r="H267" s="23" t="s">
        <v>146</v>
      </c>
      <c r="I267" s="2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24"/>
      <c r="V267" s="24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</row>
    <row r="268" spans="1:52" ht="15" customHeight="1" x14ac:dyDescent="0.3">
      <c r="A268" s="114">
        <v>257</v>
      </c>
      <c r="B268" s="174" t="s">
        <v>871</v>
      </c>
      <c r="C268" s="12"/>
      <c r="D268" s="12"/>
      <c r="E268" s="12"/>
      <c r="F268" s="12"/>
      <c r="G268" s="25" t="s">
        <v>145</v>
      </c>
      <c r="H268" s="23" t="s">
        <v>146</v>
      </c>
      <c r="I268" s="2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24"/>
      <c r="V268" s="24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</row>
    <row r="269" spans="1:52" ht="15" customHeight="1" x14ac:dyDescent="0.3">
      <c r="A269" s="114">
        <v>258</v>
      </c>
      <c r="B269" s="174" t="s">
        <v>872</v>
      </c>
      <c r="C269" s="12"/>
      <c r="D269" s="12"/>
      <c r="E269" s="12"/>
      <c r="F269" s="12"/>
      <c r="G269" s="25" t="s">
        <v>145</v>
      </c>
      <c r="H269" s="23" t="s">
        <v>146</v>
      </c>
      <c r="I269" s="2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24"/>
      <c r="V269" s="24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</row>
    <row r="270" spans="1:52" ht="15" customHeight="1" x14ac:dyDescent="0.3">
      <c r="A270" s="114">
        <v>259</v>
      </c>
      <c r="B270" s="174" t="s">
        <v>873</v>
      </c>
      <c r="C270" s="12"/>
      <c r="D270" s="12"/>
      <c r="E270" s="12"/>
      <c r="F270" s="12"/>
      <c r="G270" s="25" t="s">
        <v>145</v>
      </c>
      <c r="H270" s="23" t="s">
        <v>146</v>
      </c>
      <c r="I270" s="2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24"/>
      <c r="V270" s="24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</row>
    <row r="271" spans="1:52" ht="15" customHeight="1" x14ac:dyDescent="0.3">
      <c r="A271" s="114">
        <v>260</v>
      </c>
      <c r="B271" s="174" t="s">
        <v>874</v>
      </c>
      <c r="C271" s="12"/>
      <c r="D271" s="12"/>
      <c r="E271" s="12"/>
      <c r="F271" s="12"/>
      <c r="G271" s="25" t="s">
        <v>145</v>
      </c>
      <c r="H271" s="23" t="s">
        <v>146</v>
      </c>
      <c r="I271" s="2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24"/>
      <c r="V271" s="24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</row>
    <row r="272" spans="1:52" ht="15" customHeight="1" x14ac:dyDescent="0.3">
      <c r="A272" s="114">
        <v>261</v>
      </c>
      <c r="B272" s="174" t="s">
        <v>875</v>
      </c>
      <c r="C272" s="12"/>
      <c r="D272" s="12"/>
      <c r="E272" s="12"/>
      <c r="F272" s="12"/>
      <c r="G272" s="25" t="s">
        <v>145</v>
      </c>
      <c r="H272" s="23" t="s">
        <v>146</v>
      </c>
      <c r="I272" s="2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24"/>
      <c r="V272" s="24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</row>
    <row r="273" spans="1:52" ht="15" customHeight="1" x14ac:dyDescent="0.3">
      <c r="A273" s="114">
        <v>262</v>
      </c>
      <c r="B273" s="174" t="s">
        <v>876</v>
      </c>
      <c r="C273" s="12"/>
      <c r="D273" s="12"/>
      <c r="E273" s="12"/>
      <c r="F273" s="12"/>
      <c r="G273" s="25" t="s">
        <v>145</v>
      </c>
      <c r="H273" s="23" t="s">
        <v>146</v>
      </c>
      <c r="I273" s="2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24"/>
      <c r="V273" s="24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</row>
    <row r="274" spans="1:52" ht="15" customHeight="1" x14ac:dyDescent="0.3">
      <c r="A274" s="114">
        <v>263</v>
      </c>
      <c r="B274" s="174" t="s">
        <v>877</v>
      </c>
      <c r="C274" s="12"/>
      <c r="D274" s="12"/>
      <c r="E274" s="12"/>
      <c r="F274" s="12"/>
      <c r="G274" s="25" t="s">
        <v>145</v>
      </c>
      <c r="H274" s="23" t="s">
        <v>146</v>
      </c>
      <c r="I274" s="2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24"/>
      <c r="V274" s="24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</row>
    <row r="275" spans="1:52" ht="15" customHeight="1" x14ac:dyDescent="0.3">
      <c r="A275" s="114">
        <v>264</v>
      </c>
      <c r="B275" s="174" t="s">
        <v>878</v>
      </c>
      <c r="C275" s="12"/>
      <c r="D275" s="12"/>
      <c r="E275" s="12"/>
      <c r="F275" s="12"/>
      <c r="G275" s="25" t="s">
        <v>145</v>
      </c>
      <c r="H275" s="23" t="s">
        <v>146</v>
      </c>
      <c r="I275" s="2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24"/>
      <c r="V275" s="24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</row>
    <row r="276" spans="1:52" ht="15" customHeight="1" x14ac:dyDescent="0.3">
      <c r="A276" s="114">
        <v>265</v>
      </c>
      <c r="B276" s="174" t="s">
        <v>879</v>
      </c>
      <c r="C276" s="12"/>
      <c r="D276" s="12"/>
      <c r="E276" s="12"/>
      <c r="F276" s="12"/>
      <c r="G276" s="25" t="s">
        <v>145</v>
      </c>
      <c r="H276" s="23" t="s">
        <v>146</v>
      </c>
      <c r="I276" s="2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24"/>
      <c r="V276" s="24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</row>
    <row r="277" spans="1:52" ht="15" customHeight="1" x14ac:dyDescent="0.3">
      <c r="A277" s="114">
        <v>266</v>
      </c>
      <c r="B277" s="174" t="s">
        <v>880</v>
      </c>
      <c r="C277" s="12"/>
      <c r="D277" s="12"/>
      <c r="E277" s="12"/>
      <c r="F277" s="12"/>
      <c r="G277" s="25" t="s">
        <v>145</v>
      </c>
      <c r="H277" s="23" t="s">
        <v>146</v>
      </c>
      <c r="I277" s="2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24"/>
      <c r="V277" s="24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</row>
    <row r="278" spans="1:52" ht="15" customHeight="1" x14ac:dyDescent="0.3">
      <c r="A278" s="114">
        <v>267</v>
      </c>
      <c r="B278" s="174" t="s">
        <v>881</v>
      </c>
      <c r="C278" s="12"/>
      <c r="D278" s="12"/>
      <c r="E278" s="12"/>
      <c r="F278" s="12"/>
      <c r="G278" s="25" t="s">
        <v>145</v>
      </c>
      <c r="H278" s="23" t="s">
        <v>146</v>
      </c>
      <c r="I278" s="2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24"/>
      <c r="V278" s="24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</row>
    <row r="279" spans="1:52" ht="15" customHeight="1" x14ac:dyDescent="0.3">
      <c r="A279" s="114">
        <v>268</v>
      </c>
      <c r="B279" s="174" t="s">
        <v>882</v>
      </c>
      <c r="C279" s="12"/>
      <c r="D279" s="12"/>
      <c r="E279" s="12"/>
      <c r="F279" s="12"/>
      <c r="G279" s="25" t="s">
        <v>145</v>
      </c>
      <c r="H279" s="23" t="s">
        <v>146</v>
      </c>
      <c r="I279" s="2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24"/>
      <c r="V279" s="24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</row>
    <row r="280" spans="1:52" ht="15" customHeight="1" x14ac:dyDescent="0.3">
      <c r="A280" s="114">
        <v>269</v>
      </c>
      <c r="B280" s="174" t="s">
        <v>883</v>
      </c>
      <c r="C280" s="12"/>
      <c r="D280" s="12"/>
      <c r="E280" s="12"/>
      <c r="F280" s="12"/>
      <c r="G280" s="25" t="s">
        <v>145</v>
      </c>
      <c r="H280" s="23" t="s">
        <v>146</v>
      </c>
      <c r="I280" s="2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24"/>
      <c r="V280" s="24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</row>
    <row r="281" spans="1:52" ht="15" customHeight="1" x14ac:dyDescent="0.3">
      <c r="A281" s="114">
        <v>270</v>
      </c>
      <c r="B281" s="174" t="s">
        <v>884</v>
      </c>
      <c r="C281" s="12"/>
      <c r="D281" s="12"/>
      <c r="E281" s="12"/>
      <c r="F281" s="12"/>
      <c r="G281" s="25" t="s">
        <v>145</v>
      </c>
      <c r="H281" s="23" t="s">
        <v>146</v>
      </c>
      <c r="I281" s="2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24"/>
      <c r="V281" s="24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</row>
    <row r="282" spans="1:52" ht="15" customHeight="1" x14ac:dyDescent="0.3">
      <c r="A282" s="114">
        <v>271</v>
      </c>
      <c r="B282" s="174" t="s">
        <v>885</v>
      </c>
      <c r="C282" s="12"/>
      <c r="D282" s="12"/>
      <c r="E282" s="12"/>
      <c r="F282" s="12"/>
      <c r="G282" s="25" t="s">
        <v>145</v>
      </c>
      <c r="H282" s="23" t="s">
        <v>146</v>
      </c>
      <c r="I282" s="2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24"/>
      <c r="V282" s="24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</row>
    <row r="283" spans="1:52" s="86" customFormat="1" ht="15" customHeight="1" x14ac:dyDescent="0.3">
      <c r="A283" s="114">
        <v>272</v>
      </c>
      <c r="B283" s="174" t="s">
        <v>964</v>
      </c>
      <c r="C283" s="118" t="s">
        <v>804</v>
      </c>
      <c r="D283" s="84"/>
      <c r="E283" s="84"/>
      <c r="F283" s="118" t="s">
        <v>958</v>
      </c>
      <c r="G283" s="25" t="s">
        <v>145</v>
      </c>
      <c r="H283" s="85" t="s">
        <v>146</v>
      </c>
      <c r="I283" s="85"/>
      <c r="J283" s="81"/>
      <c r="K283" s="81"/>
      <c r="L283" s="81"/>
      <c r="M283" s="81"/>
      <c r="N283" s="81"/>
      <c r="O283" s="81"/>
      <c r="P283" s="81"/>
      <c r="Q283" s="82"/>
      <c r="R283" s="81"/>
      <c r="S283" s="81"/>
      <c r="T283" s="81"/>
      <c r="U283" s="116">
        <v>1723.49</v>
      </c>
      <c r="V283" s="120">
        <v>2078.42</v>
      </c>
      <c r="W283" s="118">
        <v>144.26</v>
      </c>
      <c r="X283" s="118" t="s">
        <v>207</v>
      </c>
      <c r="Y283" s="118">
        <v>146.81</v>
      </c>
      <c r="Z283" s="118" t="s">
        <v>207</v>
      </c>
      <c r="AA283" s="118">
        <v>139.6</v>
      </c>
      <c r="AB283" s="118" t="s">
        <v>207</v>
      </c>
      <c r="AC283" s="118">
        <v>141.44999999999999</v>
      </c>
      <c r="AD283" s="118" t="s">
        <v>207</v>
      </c>
      <c r="AE283" s="118">
        <v>61.55</v>
      </c>
      <c r="AF283" s="118" t="s">
        <v>207</v>
      </c>
      <c r="AG283" s="118">
        <v>26.09</v>
      </c>
      <c r="AH283" s="118" t="s">
        <v>207</v>
      </c>
      <c r="AI283" s="118">
        <v>28.91</v>
      </c>
      <c r="AJ283" s="118" t="s">
        <v>207</v>
      </c>
      <c r="AK283" s="118">
        <v>30.28</v>
      </c>
      <c r="AL283" s="118" t="s">
        <v>207</v>
      </c>
      <c r="AM283" s="118">
        <v>41.53</v>
      </c>
      <c r="AN283" s="118" t="s">
        <v>207</v>
      </c>
      <c r="AO283" s="118">
        <v>147.6</v>
      </c>
      <c r="AP283" s="118" t="s">
        <v>207</v>
      </c>
      <c r="AQ283" s="118">
        <v>140.19999999999999</v>
      </c>
      <c r="AR283" s="118" t="s">
        <v>207</v>
      </c>
      <c r="AS283" s="118">
        <v>167.44</v>
      </c>
      <c r="AT283" s="118" t="s">
        <v>207</v>
      </c>
      <c r="AU283" s="118">
        <f t="shared" ref="AU283:AU288" si="24">SUM(W283,Y283,AA283,AC283,AE283,AG283,AI283,AW283,AK283,AM283,AO283,AQ283,AS283)</f>
        <v>1215.7199999999998</v>
      </c>
      <c r="AV283" s="84"/>
      <c r="AW283" s="84"/>
      <c r="AX283" s="84"/>
      <c r="AY283" s="84"/>
      <c r="AZ283" s="84"/>
    </row>
    <row r="284" spans="1:52" s="86" customFormat="1" ht="15" customHeight="1" x14ac:dyDescent="0.3">
      <c r="A284" s="114">
        <v>273</v>
      </c>
      <c r="B284" s="174" t="s">
        <v>965</v>
      </c>
      <c r="C284" s="118" t="s">
        <v>804</v>
      </c>
      <c r="D284" s="84"/>
      <c r="E284" s="84"/>
      <c r="F284" s="120" t="s">
        <v>958</v>
      </c>
      <c r="G284" s="25" t="s">
        <v>145</v>
      </c>
      <c r="H284" s="85" t="s">
        <v>146</v>
      </c>
      <c r="I284" s="85"/>
      <c r="J284" s="81"/>
      <c r="K284" s="81"/>
      <c r="L284" s="81"/>
      <c r="M284" s="81"/>
      <c r="N284" s="81"/>
      <c r="O284" s="81"/>
      <c r="P284" s="81"/>
      <c r="Q284" s="82"/>
      <c r="R284" s="81"/>
      <c r="S284" s="81"/>
      <c r="T284" s="81"/>
      <c r="U284" s="116">
        <v>1339.92</v>
      </c>
      <c r="V284" s="120">
        <v>1483.52</v>
      </c>
      <c r="W284" s="118">
        <v>207.69</v>
      </c>
      <c r="X284" s="118" t="s">
        <v>207</v>
      </c>
      <c r="Y284" s="118">
        <v>152.22</v>
      </c>
      <c r="Z284" s="118" t="s">
        <v>207</v>
      </c>
      <c r="AA284" s="118">
        <v>211.47</v>
      </c>
      <c r="AB284" s="118" t="s">
        <v>207</v>
      </c>
      <c r="AC284" s="118">
        <v>139.36000000000001</v>
      </c>
      <c r="AD284" s="118" t="s">
        <v>207</v>
      </c>
      <c r="AE284" s="118">
        <v>68.09</v>
      </c>
      <c r="AF284" s="118" t="s">
        <v>207</v>
      </c>
      <c r="AG284" s="118">
        <v>19.04</v>
      </c>
      <c r="AH284" s="118" t="s">
        <v>207</v>
      </c>
      <c r="AI284" s="118">
        <v>30.71</v>
      </c>
      <c r="AJ284" s="118" t="s">
        <v>207</v>
      </c>
      <c r="AK284" s="118">
        <v>29.27</v>
      </c>
      <c r="AL284" s="118" t="s">
        <v>207</v>
      </c>
      <c r="AM284" s="118">
        <v>44.06</v>
      </c>
      <c r="AN284" s="118" t="s">
        <v>207</v>
      </c>
      <c r="AO284" s="118">
        <v>139.75</v>
      </c>
      <c r="AP284" s="118" t="s">
        <v>207</v>
      </c>
      <c r="AQ284" s="118">
        <v>133.97</v>
      </c>
      <c r="AR284" s="118" t="s">
        <v>207</v>
      </c>
      <c r="AS284" s="118">
        <v>173.28</v>
      </c>
      <c r="AT284" s="118" t="s">
        <v>207</v>
      </c>
      <c r="AU284" s="118">
        <f t="shared" si="24"/>
        <v>1348.91</v>
      </c>
      <c r="AV284" s="84"/>
      <c r="AW284" s="84"/>
      <c r="AX284" s="84"/>
      <c r="AY284" s="84"/>
      <c r="AZ284" s="84"/>
    </row>
    <row r="285" spans="1:52" s="86" customFormat="1" ht="15" customHeight="1" x14ac:dyDescent="0.3">
      <c r="A285" s="114">
        <v>274</v>
      </c>
      <c r="B285" s="174" t="s">
        <v>966</v>
      </c>
      <c r="C285" s="118" t="s">
        <v>804</v>
      </c>
      <c r="D285" s="84"/>
      <c r="E285" s="84"/>
      <c r="F285" s="120" t="s">
        <v>958</v>
      </c>
      <c r="G285" s="25" t="s">
        <v>145</v>
      </c>
      <c r="H285" s="85" t="s">
        <v>146</v>
      </c>
      <c r="I285" s="85"/>
      <c r="J285" s="81"/>
      <c r="K285" s="81"/>
      <c r="L285" s="81"/>
      <c r="M285" s="81"/>
      <c r="N285" s="81"/>
      <c r="O285" s="81"/>
      <c r="P285" s="81"/>
      <c r="Q285" s="82"/>
      <c r="R285" s="81"/>
      <c r="S285" s="81"/>
      <c r="T285" s="81"/>
      <c r="U285" s="116">
        <v>1472.95</v>
      </c>
      <c r="V285" s="120">
        <v>1772.43</v>
      </c>
      <c r="W285" s="118">
        <v>216.77</v>
      </c>
      <c r="X285" s="118" t="s">
        <v>207</v>
      </c>
      <c r="Y285" s="118">
        <v>151.85</v>
      </c>
      <c r="Z285" s="118" t="s">
        <v>207</v>
      </c>
      <c r="AA285" s="118">
        <v>213.9</v>
      </c>
      <c r="AB285" s="118" t="s">
        <v>207</v>
      </c>
      <c r="AC285" s="118">
        <v>135.01</v>
      </c>
      <c r="AD285" s="118" t="s">
        <v>207</v>
      </c>
      <c r="AE285" s="118">
        <v>63.5</v>
      </c>
      <c r="AF285" s="118" t="s">
        <v>207</v>
      </c>
      <c r="AG285" s="118">
        <v>17.350000000000001</v>
      </c>
      <c r="AH285" s="118" t="s">
        <v>207</v>
      </c>
      <c r="AI285" s="118">
        <v>25.24</v>
      </c>
      <c r="AJ285" s="118" t="s">
        <v>207</v>
      </c>
      <c r="AK285" s="118">
        <v>17.53</v>
      </c>
      <c r="AL285" s="118" t="s">
        <v>207</v>
      </c>
      <c r="AM285" s="118">
        <v>36.979999999999997</v>
      </c>
      <c r="AN285" s="118" t="s">
        <v>207</v>
      </c>
      <c r="AO285" s="118">
        <v>140.01</v>
      </c>
      <c r="AP285" s="118" t="s">
        <v>207</v>
      </c>
      <c r="AQ285" s="118">
        <v>136.03</v>
      </c>
      <c r="AR285" s="118" t="s">
        <v>207</v>
      </c>
      <c r="AS285" s="118">
        <v>180.35</v>
      </c>
      <c r="AT285" s="118" t="s">
        <v>207</v>
      </c>
      <c r="AU285" s="118">
        <f t="shared" si="24"/>
        <v>1334.52</v>
      </c>
      <c r="AV285" s="84"/>
      <c r="AW285" s="84"/>
      <c r="AX285" s="84"/>
      <c r="AY285" s="84"/>
      <c r="AZ285" s="84"/>
    </row>
    <row r="286" spans="1:52" s="90" customFormat="1" ht="15" customHeight="1" x14ac:dyDescent="0.3">
      <c r="A286" s="114">
        <v>275</v>
      </c>
      <c r="B286" s="174" t="s">
        <v>967</v>
      </c>
      <c r="C286" s="118" t="s">
        <v>804</v>
      </c>
      <c r="D286" s="88"/>
      <c r="E286" s="88"/>
      <c r="F286" s="120" t="s">
        <v>958</v>
      </c>
      <c r="G286" s="25" t="s">
        <v>145</v>
      </c>
      <c r="H286" s="85" t="s">
        <v>146</v>
      </c>
      <c r="I286" s="89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116">
        <v>1546.96</v>
      </c>
      <c r="V286" s="120">
        <v>1844.41</v>
      </c>
      <c r="W286" s="120">
        <v>302.16000000000003</v>
      </c>
      <c r="X286" s="120" t="s">
        <v>207</v>
      </c>
      <c r="Y286" s="120">
        <v>167.4</v>
      </c>
      <c r="Z286" s="120" t="s">
        <v>207</v>
      </c>
      <c r="AA286" s="120">
        <v>289.39999999999998</v>
      </c>
      <c r="AB286" s="120" t="s">
        <v>207</v>
      </c>
      <c r="AC286" s="120">
        <v>162.47</v>
      </c>
      <c r="AD286" s="120" t="s">
        <v>207</v>
      </c>
      <c r="AE286" s="120">
        <v>86.12</v>
      </c>
      <c r="AF286" s="120" t="s">
        <v>207</v>
      </c>
      <c r="AG286" s="120">
        <v>57.18</v>
      </c>
      <c r="AH286" s="120" t="s">
        <v>207</v>
      </c>
      <c r="AI286" s="120">
        <v>50.2</v>
      </c>
      <c r="AJ286" s="118" t="s">
        <v>207</v>
      </c>
      <c r="AK286" s="120">
        <v>49.87</v>
      </c>
      <c r="AL286" s="118" t="s">
        <v>207</v>
      </c>
      <c r="AM286" s="120">
        <v>57.59</v>
      </c>
      <c r="AN286" s="118" t="s">
        <v>207</v>
      </c>
      <c r="AO286" s="120">
        <v>170.07</v>
      </c>
      <c r="AP286" s="120" t="s">
        <v>207</v>
      </c>
      <c r="AQ286" s="120">
        <v>189.45</v>
      </c>
      <c r="AR286" s="120" t="s">
        <v>207</v>
      </c>
      <c r="AS286" s="120">
        <v>210.07</v>
      </c>
      <c r="AT286" s="120" t="s">
        <v>207</v>
      </c>
      <c r="AU286" s="118">
        <f t="shared" si="24"/>
        <v>1791.9799999999998</v>
      </c>
      <c r="AV286" s="88"/>
      <c r="AW286" s="88"/>
      <c r="AX286" s="88"/>
      <c r="AY286" s="88"/>
      <c r="AZ286" s="88"/>
    </row>
    <row r="287" spans="1:52" s="90" customFormat="1" ht="15" customHeight="1" x14ac:dyDescent="0.3">
      <c r="A287" s="114">
        <v>276</v>
      </c>
      <c r="B287" s="174" t="s">
        <v>968</v>
      </c>
      <c r="C287" s="118" t="s">
        <v>804</v>
      </c>
      <c r="D287" s="88"/>
      <c r="E287" s="88"/>
      <c r="F287" s="120" t="s">
        <v>958</v>
      </c>
      <c r="G287" s="25" t="s">
        <v>145</v>
      </c>
      <c r="H287" s="85" t="s">
        <v>146</v>
      </c>
      <c r="I287" s="89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116">
        <v>2814.53</v>
      </c>
      <c r="V287" s="120">
        <v>3470.32</v>
      </c>
      <c r="W287" s="120">
        <v>415.58</v>
      </c>
      <c r="X287" s="120" t="s">
        <v>207</v>
      </c>
      <c r="Y287" s="120">
        <v>337.55</v>
      </c>
      <c r="Z287" s="120" t="s">
        <v>207</v>
      </c>
      <c r="AA287" s="120">
        <v>446.81</v>
      </c>
      <c r="AB287" s="120" t="s">
        <v>207</v>
      </c>
      <c r="AC287" s="120">
        <v>266.57</v>
      </c>
      <c r="AD287" s="120" t="s">
        <v>207</v>
      </c>
      <c r="AE287" s="120">
        <v>101.44</v>
      </c>
      <c r="AF287" s="120" t="s">
        <v>207</v>
      </c>
      <c r="AG287" s="120">
        <v>36.270000000000003</v>
      </c>
      <c r="AH287" s="120" t="s">
        <v>207</v>
      </c>
      <c r="AI287" s="120">
        <v>34.6</v>
      </c>
      <c r="AJ287" s="118" t="s">
        <v>207</v>
      </c>
      <c r="AK287" s="120">
        <v>36.74</v>
      </c>
      <c r="AL287" s="118" t="s">
        <v>207</v>
      </c>
      <c r="AM287" s="120">
        <v>49.46</v>
      </c>
      <c r="AN287" s="118" t="s">
        <v>207</v>
      </c>
      <c r="AO287" s="120">
        <v>246.27</v>
      </c>
      <c r="AP287" s="120" t="s">
        <v>207</v>
      </c>
      <c r="AQ287" s="120">
        <v>276.26</v>
      </c>
      <c r="AR287" s="120" t="s">
        <v>207</v>
      </c>
      <c r="AS287" s="120">
        <v>354.91</v>
      </c>
      <c r="AT287" s="120" t="s">
        <v>207</v>
      </c>
      <c r="AU287" s="118">
        <f t="shared" si="24"/>
        <v>2602.46</v>
      </c>
      <c r="AV287" s="88"/>
      <c r="AW287" s="88"/>
      <c r="AX287" s="88"/>
      <c r="AY287" s="88"/>
      <c r="AZ287" s="88"/>
    </row>
    <row r="288" spans="1:52" s="90" customFormat="1" ht="15" customHeight="1" x14ac:dyDescent="0.3">
      <c r="A288" s="114">
        <v>277</v>
      </c>
      <c r="B288" s="174" t="s">
        <v>969</v>
      </c>
      <c r="C288" s="118" t="s">
        <v>804</v>
      </c>
      <c r="D288" s="88"/>
      <c r="E288" s="88"/>
      <c r="F288" s="120" t="s">
        <v>958</v>
      </c>
      <c r="G288" s="25" t="s">
        <v>145</v>
      </c>
      <c r="H288" s="85" t="s">
        <v>146</v>
      </c>
      <c r="I288" s="89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116">
        <v>1662.29</v>
      </c>
      <c r="V288" s="120">
        <v>1987.92</v>
      </c>
      <c r="W288" s="120">
        <v>138.57</v>
      </c>
      <c r="X288" s="120" t="s">
        <v>207</v>
      </c>
      <c r="Y288" s="120">
        <v>141.54</v>
      </c>
      <c r="Z288" s="120" t="s">
        <v>207</v>
      </c>
      <c r="AA288" s="120">
        <v>140.86000000000001</v>
      </c>
      <c r="AB288" s="120" t="s">
        <v>207</v>
      </c>
      <c r="AC288" s="120">
        <v>137.79</v>
      </c>
      <c r="AD288" s="120" t="s">
        <v>207</v>
      </c>
      <c r="AE288" s="120">
        <v>71.86</v>
      </c>
      <c r="AF288" s="120" t="s">
        <v>207</v>
      </c>
      <c r="AG288" s="120">
        <v>33.17</v>
      </c>
      <c r="AH288" s="120" t="s">
        <v>207</v>
      </c>
      <c r="AI288" s="120">
        <v>26.19</v>
      </c>
      <c r="AJ288" s="118" t="s">
        <v>207</v>
      </c>
      <c r="AK288" s="120">
        <v>32.78</v>
      </c>
      <c r="AL288" s="118" t="s">
        <v>207</v>
      </c>
      <c r="AM288" s="120">
        <v>43.19</v>
      </c>
      <c r="AN288" s="118" t="s">
        <v>207</v>
      </c>
      <c r="AO288" s="120">
        <v>136.68</v>
      </c>
      <c r="AP288" s="120" t="s">
        <v>207</v>
      </c>
      <c r="AQ288" s="120">
        <v>125.48</v>
      </c>
      <c r="AR288" s="120" t="s">
        <v>207</v>
      </c>
      <c r="AS288" s="120">
        <v>165.24</v>
      </c>
      <c r="AT288" s="120" t="s">
        <v>207</v>
      </c>
      <c r="AU288" s="118">
        <f t="shared" si="24"/>
        <v>1193.3500000000001</v>
      </c>
      <c r="AV288" s="88"/>
      <c r="AW288" s="88"/>
      <c r="AX288" s="88"/>
      <c r="AY288" s="88"/>
      <c r="AZ288" s="88"/>
    </row>
    <row r="289" spans="1:52" s="90" customFormat="1" ht="15" customHeight="1" x14ac:dyDescent="0.3">
      <c r="A289" s="114">
        <v>278</v>
      </c>
      <c r="B289" s="174" t="s">
        <v>970</v>
      </c>
      <c r="C289" s="118" t="s">
        <v>804</v>
      </c>
      <c r="D289" s="88"/>
      <c r="E289" s="88"/>
      <c r="F289" s="120" t="s">
        <v>958</v>
      </c>
      <c r="G289" s="25" t="s">
        <v>145</v>
      </c>
      <c r="H289" s="85" t="s">
        <v>146</v>
      </c>
      <c r="I289" s="89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116">
        <v>1422.35</v>
      </c>
      <c r="V289" s="120">
        <v>1713.5</v>
      </c>
      <c r="W289" s="120">
        <v>132.80000000000001</v>
      </c>
      <c r="X289" s="120" t="s">
        <v>207</v>
      </c>
      <c r="Y289" s="120">
        <v>136.30000000000001</v>
      </c>
      <c r="Z289" s="120" t="s">
        <v>207</v>
      </c>
      <c r="AA289" s="120">
        <v>135.25</v>
      </c>
      <c r="AB289" s="120" t="s">
        <v>207</v>
      </c>
      <c r="AC289" s="120">
        <v>134.85</v>
      </c>
      <c r="AD289" s="120" t="s">
        <v>207</v>
      </c>
      <c r="AE289" s="120">
        <v>127.2</v>
      </c>
      <c r="AF289" s="120" t="s">
        <v>207</v>
      </c>
      <c r="AG289" s="120">
        <v>41.9</v>
      </c>
      <c r="AH289" s="120" t="s">
        <v>207</v>
      </c>
      <c r="AI289" s="120">
        <v>47.1</v>
      </c>
      <c r="AJ289" s="118" t="s">
        <v>207</v>
      </c>
      <c r="AK289" s="120">
        <v>12.77</v>
      </c>
      <c r="AL289" s="118" t="s">
        <v>207</v>
      </c>
      <c r="AM289" s="120">
        <v>29.42</v>
      </c>
      <c r="AN289" s="118" t="s">
        <v>207</v>
      </c>
      <c r="AO289" s="120">
        <v>121.7</v>
      </c>
      <c r="AP289" s="120" t="s">
        <v>207</v>
      </c>
      <c r="AQ289" s="120">
        <v>121.2</v>
      </c>
      <c r="AR289" s="120" t="s">
        <v>207</v>
      </c>
      <c r="AS289" s="120">
        <v>174.3</v>
      </c>
      <c r="AT289" s="120" t="s">
        <v>207</v>
      </c>
      <c r="AU289" s="118">
        <v>1214.79</v>
      </c>
      <c r="AV289" s="88"/>
      <c r="AW289" s="88"/>
      <c r="AX289" s="88"/>
      <c r="AY289" s="88"/>
      <c r="AZ289" s="88"/>
    </row>
    <row r="290" spans="1:52" s="90" customFormat="1" ht="15" customHeight="1" x14ac:dyDescent="0.3">
      <c r="A290" s="114">
        <v>279</v>
      </c>
      <c r="B290" s="174" t="s">
        <v>971</v>
      </c>
      <c r="C290" s="118" t="s">
        <v>804</v>
      </c>
      <c r="D290" s="88"/>
      <c r="E290" s="88"/>
      <c r="F290" s="120" t="s">
        <v>958</v>
      </c>
      <c r="G290" s="25" t="s">
        <v>145</v>
      </c>
      <c r="H290" s="85" t="s">
        <v>146</v>
      </c>
      <c r="I290" s="89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116">
        <v>1640.04</v>
      </c>
      <c r="V290" s="120">
        <v>2093.92</v>
      </c>
      <c r="W290" s="120">
        <v>134.80000000000001</v>
      </c>
      <c r="X290" s="120" t="s">
        <v>207</v>
      </c>
      <c r="Y290" s="120">
        <v>137.22999999999999</v>
      </c>
      <c r="Z290" s="120" t="s">
        <v>207</v>
      </c>
      <c r="AA290" s="120">
        <v>138.12</v>
      </c>
      <c r="AB290" s="120" t="s">
        <v>207</v>
      </c>
      <c r="AC290" s="120">
        <v>136.9</v>
      </c>
      <c r="AD290" s="120" t="s">
        <v>207</v>
      </c>
      <c r="AE290" s="120">
        <v>127.4</v>
      </c>
      <c r="AF290" s="120" t="s">
        <v>207</v>
      </c>
      <c r="AG290" s="120">
        <v>43.01</v>
      </c>
      <c r="AH290" s="120" t="s">
        <v>207</v>
      </c>
      <c r="AI290" s="120">
        <v>53.12</v>
      </c>
      <c r="AJ290" s="118" t="s">
        <v>207</v>
      </c>
      <c r="AK290" s="120">
        <v>18.23</v>
      </c>
      <c r="AL290" s="118" t="s">
        <v>207</v>
      </c>
      <c r="AM290" s="120">
        <v>29.12</v>
      </c>
      <c r="AN290" s="118" t="s">
        <v>207</v>
      </c>
      <c r="AO290" s="120">
        <v>116.98</v>
      </c>
      <c r="AP290" s="120" t="s">
        <v>207</v>
      </c>
      <c r="AQ290" s="120">
        <v>111.45</v>
      </c>
      <c r="AR290" s="120" t="s">
        <v>207</v>
      </c>
      <c r="AS290" s="120">
        <v>163.51</v>
      </c>
      <c r="AT290" s="120" t="s">
        <v>207</v>
      </c>
      <c r="AU290" s="118">
        <v>1209.8699999999999</v>
      </c>
      <c r="AV290" s="88"/>
      <c r="AW290" s="88"/>
      <c r="AX290" s="88"/>
      <c r="AY290" s="88"/>
      <c r="AZ290" s="88"/>
    </row>
    <row r="291" spans="1:52" s="90" customFormat="1" ht="15" customHeight="1" x14ac:dyDescent="0.3">
      <c r="A291" s="114">
        <v>280</v>
      </c>
      <c r="B291" s="174" t="s">
        <v>972</v>
      </c>
      <c r="C291" s="118" t="s">
        <v>804</v>
      </c>
      <c r="D291" s="88"/>
      <c r="E291" s="88"/>
      <c r="F291" s="120" t="s">
        <v>958</v>
      </c>
      <c r="G291" s="25" t="s">
        <v>145</v>
      </c>
      <c r="H291" s="85" t="s">
        <v>146</v>
      </c>
      <c r="I291" s="89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116">
        <v>1704.82</v>
      </c>
      <c r="V291" s="120">
        <v>1959.73</v>
      </c>
      <c r="W291" s="120">
        <v>135.6</v>
      </c>
      <c r="X291" s="120" t="s">
        <v>207</v>
      </c>
      <c r="Y291" s="120">
        <v>140.12</v>
      </c>
      <c r="Z291" s="120" t="s">
        <v>207</v>
      </c>
      <c r="AA291" s="120">
        <v>139.25</v>
      </c>
      <c r="AB291" s="120" t="s">
        <v>207</v>
      </c>
      <c r="AC291" s="120">
        <v>136.19999999999999</v>
      </c>
      <c r="AD291" s="120" t="s">
        <v>207</v>
      </c>
      <c r="AE291" s="120">
        <v>70.23</v>
      </c>
      <c r="AF291" s="120" t="s">
        <v>207</v>
      </c>
      <c r="AG291" s="120">
        <v>30.56</v>
      </c>
      <c r="AH291" s="120" t="s">
        <v>207</v>
      </c>
      <c r="AI291" s="120">
        <v>28.12</v>
      </c>
      <c r="AJ291" s="118" t="s">
        <v>207</v>
      </c>
      <c r="AK291" s="120">
        <v>37.01</v>
      </c>
      <c r="AL291" s="118" t="s">
        <v>207</v>
      </c>
      <c r="AM291" s="120">
        <v>49.12</v>
      </c>
      <c r="AN291" s="118" t="s">
        <v>207</v>
      </c>
      <c r="AO291" s="120">
        <v>242.06</v>
      </c>
      <c r="AP291" s="120" t="s">
        <v>207</v>
      </c>
      <c r="AQ291" s="120">
        <v>273.18</v>
      </c>
      <c r="AR291" s="120" t="s">
        <v>207</v>
      </c>
      <c r="AS291" s="120">
        <v>349.12</v>
      </c>
      <c r="AT291" s="120" t="s">
        <v>207</v>
      </c>
      <c r="AU291" s="118">
        <v>1630.5700000000002</v>
      </c>
      <c r="AV291" s="88"/>
      <c r="AW291" s="88"/>
      <c r="AX291" s="88"/>
      <c r="AY291" s="88"/>
      <c r="AZ291" s="88"/>
    </row>
    <row r="292" spans="1:52" s="90" customFormat="1" ht="15" customHeight="1" x14ac:dyDescent="0.3">
      <c r="A292" s="114">
        <v>281</v>
      </c>
      <c r="B292" s="174" t="s">
        <v>973</v>
      </c>
      <c r="C292" s="118" t="s">
        <v>804</v>
      </c>
      <c r="D292" s="88"/>
      <c r="E292" s="88"/>
      <c r="F292" s="120" t="s">
        <v>958</v>
      </c>
      <c r="G292" s="25" t="s">
        <v>145</v>
      </c>
      <c r="H292" s="85" t="s">
        <v>146</v>
      </c>
      <c r="I292" s="89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116">
        <v>775.77</v>
      </c>
      <c r="V292" s="120">
        <v>963.21</v>
      </c>
      <c r="W292" s="120">
        <v>109.64</v>
      </c>
      <c r="X292" s="120" t="s">
        <v>207</v>
      </c>
      <c r="Y292" s="120">
        <v>108.35</v>
      </c>
      <c r="Z292" s="120" t="s">
        <v>207</v>
      </c>
      <c r="AA292" s="120">
        <v>105.81</v>
      </c>
      <c r="AB292" s="120" t="s">
        <v>207</v>
      </c>
      <c r="AC292" s="120">
        <v>82.21</v>
      </c>
      <c r="AD292" s="120" t="s">
        <v>207</v>
      </c>
      <c r="AE292" s="120">
        <v>64.87</v>
      </c>
      <c r="AF292" s="120" t="s">
        <v>207</v>
      </c>
      <c r="AG292" s="120">
        <v>20.09</v>
      </c>
      <c r="AH292" s="120" t="s">
        <v>207</v>
      </c>
      <c r="AI292" s="120">
        <v>20.04</v>
      </c>
      <c r="AJ292" s="118" t="s">
        <v>207</v>
      </c>
      <c r="AK292" s="120">
        <v>18.39</v>
      </c>
      <c r="AL292" s="118" t="s">
        <v>207</v>
      </c>
      <c r="AM292" s="120">
        <v>21.72</v>
      </c>
      <c r="AN292" s="118" t="s">
        <v>207</v>
      </c>
      <c r="AO292" s="120">
        <v>74.19</v>
      </c>
      <c r="AP292" s="120" t="s">
        <v>207</v>
      </c>
      <c r="AQ292" s="120">
        <v>72.55</v>
      </c>
      <c r="AR292" s="120" t="s">
        <v>207</v>
      </c>
      <c r="AS292" s="120">
        <v>61.06</v>
      </c>
      <c r="AT292" s="120" t="s">
        <v>207</v>
      </c>
      <c r="AU292" s="118">
        <f t="shared" ref="AU292:AU316" si="25">SUM(W292,Y292,AA292,AC292,AE292,AG292,AI292,AW292,AK292,AM292,AO292,AQ292,AS292)</f>
        <v>758.91999999999985</v>
      </c>
      <c r="AV292" s="88"/>
      <c r="AW292" s="88"/>
      <c r="AX292" s="88"/>
      <c r="AY292" s="88"/>
      <c r="AZ292" s="88"/>
    </row>
    <row r="293" spans="1:52" s="90" customFormat="1" ht="15" customHeight="1" x14ac:dyDescent="0.3">
      <c r="A293" s="114">
        <v>282</v>
      </c>
      <c r="B293" s="174" t="s">
        <v>974</v>
      </c>
      <c r="C293" s="120" t="s">
        <v>959</v>
      </c>
      <c r="D293" s="88"/>
      <c r="E293" s="88"/>
      <c r="F293" s="120" t="s">
        <v>958</v>
      </c>
      <c r="G293" s="25" t="s">
        <v>145</v>
      </c>
      <c r="H293" s="85" t="s">
        <v>146</v>
      </c>
      <c r="I293" s="89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116">
        <v>574.52</v>
      </c>
      <c r="V293" s="120">
        <v>648.88</v>
      </c>
      <c r="W293" s="120">
        <v>122.58</v>
      </c>
      <c r="X293" s="120" t="s">
        <v>207</v>
      </c>
      <c r="Y293" s="120">
        <v>102.73</v>
      </c>
      <c r="Z293" s="120" t="s">
        <v>207</v>
      </c>
      <c r="AA293" s="120">
        <v>91.7</v>
      </c>
      <c r="AB293" s="120" t="s">
        <v>207</v>
      </c>
      <c r="AC293" s="120">
        <v>57.41</v>
      </c>
      <c r="AD293" s="120" t="s">
        <v>207</v>
      </c>
      <c r="AE293" s="120">
        <v>16.809999999999999</v>
      </c>
      <c r="AF293" s="120" t="s">
        <v>207</v>
      </c>
      <c r="AG293" s="120">
        <v>0</v>
      </c>
      <c r="AH293" s="120" t="s">
        <v>207</v>
      </c>
      <c r="AI293" s="120">
        <v>0</v>
      </c>
      <c r="AJ293" s="118" t="s">
        <v>207</v>
      </c>
      <c r="AK293" s="120">
        <v>0</v>
      </c>
      <c r="AL293" s="118" t="s">
        <v>207</v>
      </c>
      <c r="AM293" s="120">
        <v>2.5099999999999998</v>
      </c>
      <c r="AN293" s="118" t="s">
        <v>207</v>
      </c>
      <c r="AO293" s="120">
        <v>46.58</v>
      </c>
      <c r="AP293" s="120" t="s">
        <v>207</v>
      </c>
      <c r="AQ293" s="120">
        <v>63.63</v>
      </c>
      <c r="AR293" s="120" t="s">
        <v>207</v>
      </c>
      <c r="AS293" s="120">
        <v>70.569999999999993</v>
      </c>
      <c r="AT293" s="120" t="s">
        <v>207</v>
      </c>
      <c r="AU293" s="118">
        <f t="shared" si="25"/>
        <v>574.52</v>
      </c>
      <c r="AV293" s="88"/>
      <c r="AW293" s="88"/>
      <c r="AX293" s="88"/>
      <c r="AY293" s="88"/>
      <c r="AZ293" s="88"/>
    </row>
    <row r="294" spans="1:52" s="90" customFormat="1" ht="15" customHeight="1" x14ac:dyDescent="0.3">
      <c r="A294" s="114">
        <v>283</v>
      </c>
      <c r="B294" s="174" t="s">
        <v>975</v>
      </c>
      <c r="C294" s="120" t="s">
        <v>959</v>
      </c>
      <c r="D294" s="88"/>
      <c r="E294" s="88"/>
      <c r="F294" s="120" t="s">
        <v>958</v>
      </c>
      <c r="G294" s="25" t="s">
        <v>145</v>
      </c>
      <c r="H294" s="85" t="s">
        <v>146</v>
      </c>
      <c r="I294" s="89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116">
        <v>184.85</v>
      </c>
      <c r="V294" s="120">
        <v>208.72</v>
      </c>
      <c r="W294" s="120">
        <v>39.43</v>
      </c>
      <c r="X294" s="120" t="s">
        <v>207</v>
      </c>
      <c r="Y294" s="120">
        <v>33.049999999999997</v>
      </c>
      <c r="Z294" s="120" t="s">
        <v>207</v>
      </c>
      <c r="AA294" s="120">
        <v>29.49</v>
      </c>
      <c r="AB294" s="120" t="s">
        <v>207</v>
      </c>
      <c r="AC294" s="120">
        <v>18.47</v>
      </c>
      <c r="AD294" s="120" t="s">
        <v>207</v>
      </c>
      <c r="AE294" s="120">
        <v>5.41</v>
      </c>
      <c r="AF294" s="120" t="s">
        <v>207</v>
      </c>
      <c r="AG294" s="120">
        <v>0</v>
      </c>
      <c r="AH294" s="120" t="s">
        <v>207</v>
      </c>
      <c r="AI294" s="120">
        <v>0</v>
      </c>
      <c r="AJ294" s="118" t="s">
        <v>207</v>
      </c>
      <c r="AK294" s="120">
        <v>0</v>
      </c>
      <c r="AL294" s="118" t="s">
        <v>207</v>
      </c>
      <c r="AM294" s="120">
        <v>0.81</v>
      </c>
      <c r="AN294" s="118" t="s">
        <v>207</v>
      </c>
      <c r="AO294" s="120">
        <v>15</v>
      </c>
      <c r="AP294" s="120" t="s">
        <v>207</v>
      </c>
      <c r="AQ294" s="120">
        <v>20.48</v>
      </c>
      <c r="AR294" s="120" t="s">
        <v>207</v>
      </c>
      <c r="AS294" s="120">
        <v>22.71</v>
      </c>
      <c r="AT294" s="120" t="s">
        <v>207</v>
      </c>
      <c r="AU294" s="118">
        <f t="shared" si="25"/>
        <v>184.84999999999997</v>
      </c>
      <c r="AV294" s="88"/>
      <c r="AW294" s="88"/>
      <c r="AX294" s="88"/>
      <c r="AY294" s="88"/>
      <c r="AZ294" s="88"/>
    </row>
    <row r="295" spans="1:52" s="90" customFormat="1" ht="15" customHeight="1" x14ac:dyDescent="0.3">
      <c r="A295" s="114">
        <v>284</v>
      </c>
      <c r="B295" s="174" t="s">
        <v>976</v>
      </c>
      <c r="C295" s="120" t="s">
        <v>959</v>
      </c>
      <c r="D295" s="88"/>
      <c r="E295" s="88"/>
      <c r="F295" s="120" t="s">
        <v>958</v>
      </c>
      <c r="G295" s="25" t="s">
        <v>145</v>
      </c>
      <c r="H295" s="85" t="s">
        <v>146</v>
      </c>
      <c r="I295" s="89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116">
        <v>293</v>
      </c>
      <c r="V295" s="120">
        <v>330.8</v>
      </c>
      <c r="W295" s="120">
        <v>62.5</v>
      </c>
      <c r="X295" s="120" t="s">
        <v>207</v>
      </c>
      <c r="Y295" s="120">
        <v>52.37</v>
      </c>
      <c r="Z295" s="120" t="s">
        <v>207</v>
      </c>
      <c r="AA295" s="120">
        <v>46.74</v>
      </c>
      <c r="AB295" s="120" t="s">
        <v>207</v>
      </c>
      <c r="AC295" s="120">
        <v>29.3</v>
      </c>
      <c r="AD295" s="120" t="s">
        <v>207</v>
      </c>
      <c r="AE295" s="120">
        <v>8.58</v>
      </c>
      <c r="AF295" s="120" t="s">
        <v>207</v>
      </c>
      <c r="AG295" s="120">
        <v>0</v>
      </c>
      <c r="AH295" s="120" t="s">
        <v>207</v>
      </c>
      <c r="AI295" s="120">
        <v>0</v>
      </c>
      <c r="AJ295" s="118" t="s">
        <v>207</v>
      </c>
      <c r="AK295" s="120">
        <v>0</v>
      </c>
      <c r="AL295" s="118" t="s">
        <v>207</v>
      </c>
      <c r="AM295" s="120">
        <v>1.27</v>
      </c>
      <c r="AN295" s="118" t="s">
        <v>207</v>
      </c>
      <c r="AO295" s="120">
        <v>23.77</v>
      </c>
      <c r="AP295" s="120" t="s">
        <v>207</v>
      </c>
      <c r="AQ295" s="120">
        <v>32.47</v>
      </c>
      <c r="AR295" s="120" t="s">
        <v>207</v>
      </c>
      <c r="AS295" s="120">
        <v>36</v>
      </c>
      <c r="AT295" s="120" t="s">
        <v>207</v>
      </c>
      <c r="AU295" s="118">
        <f t="shared" si="25"/>
        <v>293.00000000000006</v>
      </c>
      <c r="AV295" s="88"/>
      <c r="AW295" s="88"/>
      <c r="AX295" s="88"/>
      <c r="AY295" s="88"/>
      <c r="AZ295" s="88"/>
    </row>
    <row r="296" spans="1:52" s="90" customFormat="1" ht="15" customHeight="1" x14ac:dyDescent="0.3">
      <c r="A296" s="114">
        <v>285</v>
      </c>
      <c r="B296" s="174" t="s">
        <v>977</v>
      </c>
      <c r="C296" s="120" t="s">
        <v>959</v>
      </c>
      <c r="D296" s="88"/>
      <c r="E296" s="88"/>
      <c r="F296" s="120" t="s">
        <v>958</v>
      </c>
      <c r="G296" s="25" t="s">
        <v>145</v>
      </c>
      <c r="H296" s="85" t="s">
        <v>146</v>
      </c>
      <c r="I296" s="89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116">
        <v>184.85</v>
      </c>
      <c r="V296" s="120">
        <v>208.72</v>
      </c>
      <c r="W296" s="120">
        <v>39.43</v>
      </c>
      <c r="X296" s="120" t="s">
        <v>207</v>
      </c>
      <c r="Y296" s="120">
        <v>33.049999999999997</v>
      </c>
      <c r="Z296" s="120" t="s">
        <v>207</v>
      </c>
      <c r="AA296" s="120">
        <v>29.49</v>
      </c>
      <c r="AB296" s="120" t="s">
        <v>207</v>
      </c>
      <c r="AC296" s="120">
        <v>18.47</v>
      </c>
      <c r="AD296" s="120" t="s">
        <v>207</v>
      </c>
      <c r="AE296" s="120">
        <v>5.41</v>
      </c>
      <c r="AF296" s="120" t="s">
        <v>207</v>
      </c>
      <c r="AG296" s="120">
        <v>0</v>
      </c>
      <c r="AH296" s="120" t="s">
        <v>207</v>
      </c>
      <c r="AI296" s="120">
        <v>0</v>
      </c>
      <c r="AJ296" s="118" t="s">
        <v>207</v>
      </c>
      <c r="AK296" s="120">
        <v>0</v>
      </c>
      <c r="AL296" s="118" t="s">
        <v>207</v>
      </c>
      <c r="AM296" s="120">
        <v>0.81</v>
      </c>
      <c r="AN296" s="118" t="s">
        <v>207</v>
      </c>
      <c r="AO296" s="120">
        <v>15</v>
      </c>
      <c r="AP296" s="120" t="s">
        <v>207</v>
      </c>
      <c r="AQ296" s="120">
        <v>20.48</v>
      </c>
      <c r="AR296" s="120" t="s">
        <v>207</v>
      </c>
      <c r="AS296" s="120">
        <v>22.71</v>
      </c>
      <c r="AT296" s="120" t="s">
        <v>207</v>
      </c>
      <c r="AU296" s="118">
        <f t="shared" si="25"/>
        <v>184.84999999999997</v>
      </c>
      <c r="AV296" s="88"/>
      <c r="AW296" s="88"/>
      <c r="AX296" s="88"/>
      <c r="AY296" s="88"/>
      <c r="AZ296" s="88"/>
    </row>
    <row r="297" spans="1:52" s="90" customFormat="1" ht="15" customHeight="1" x14ac:dyDescent="0.3">
      <c r="A297" s="114">
        <v>286</v>
      </c>
      <c r="B297" s="174" t="s">
        <v>978</v>
      </c>
      <c r="C297" s="120" t="s">
        <v>804</v>
      </c>
      <c r="D297" s="88"/>
      <c r="E297" s="88"/>
      <c r="F297" s="120" t="s">
        <v>958</v>
      </c>
      <c r="G297" s="25" t="s">
        <v>145</v>
      </c>
      <c r="H297" s="85" t="s">
        <v>146</v>
      </c>
      <c r="I297" s="89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116"/>
      <c r="V297" s="120"/>
      <c r="W297" s="120">
        <v>0</v>
      </c>
      <c r="X297" s="120" t="s">
        <v>207</v>
      </c>
      <c r="Y297" s="120">
        <v>0</v>
      </c>
      <c r="Z297" s="120" t="s">
        <v>207</v>
      </c>
      <c r="AA297" s="120">
        <v>0</v>
      </c>
      <c r="AB297" s="120" t="s">
        <v>207</v>
      </c>
      <c r="AC297" s="120">
        <v>0</v>
      </c>
      <c r="AD297" s="120" t="s">
        <v>207</v>
      </c>
      <c r="AE297" s="120">
        <v>2998.49</v>
      </c>
      <c r="AF297" s="120" t="s">
        <v>207</v>
      </c>
      <c r="AG297" s="120">
        <v>78.53</v>
      </c>
      <c r="AH297" s="120" t="s">
        <v>207</v>
      </c>
      <c r="AI297" s="120">
        <v>67.58</v>
      </c>
      <c r="AJ297" s="118" t="s">
        <v>207</v>
      </c>
      <c r="AK297" s="120">
        <v>71.36</v>
      </c>
      <c r="AL297" s="118" t="s">
        <v>207</v>
      </c>
      <c r="AM297" s="120">
        <v>92.54</v>
      </c>
      <c r="AN297" s="118" t="s">
        <v>207</v>
      </c>
      <c r="AO297" s="120">
        <v>473.64</v>
      </c>
      <c r="AP297" s="120" t="s">
        <v>207</v>
      </c>
      <c r="AQ297" s="120">
        <v>547.98</v>
      </c>
      <c r="AR297" s="120" t="s">
        <v>207</v>
      </c>
      <c r="AS297" s="120">
        <v>659.43</v>
      </c>
      <c r="AT297" s="120" t="s">
        <v>207</v>
      </c>
      <c r="AU297" s="118">
        <f t="shared" si="25"/>
        <v>4989.55</v>
      </c>
      <c r="AV297" s="88"/>
      <c r="AW297" s="88"/>
      <c r="AX297" s="88"/>
      <c r="AY297" s="88"/>
      <c r="AZ297" s="88"/>
    </row>
    <row r="298" spans="1:52" s="90" customFormat="1" ht="15" customHeight="1" x14ac:dyDescent="0.3">
      <c r="A298" s="114">
        <v>287</v>
      </c>
      <c r="B298" s="174" t="s">
        <v>979</v>
      </c>
      <c r="C298" s="120" t="s">
        <v>804</v>
      </c>
      <c r="D298" s="88"/>
      <c r="E298" s="88"/>
      <c r="F298" s="120" t="s">
        <v>958</v>
      </c>
      <c r="G298" s="25" t="s">
        <v>145</v>
      </c>
      <c r="H298" s="85" t="s">
        <v>146</v>
      </c>
      <c r="I298" s="89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116">
        <v>3948.38</v>
      </c>
      <c r="V298" s="120">
        <v>4945.29</v>
      </c>
      <c r="W298" s="120">
        <v>605.79999999999995</v>
      </c>
      <c r="X298" s="120" t="s">
        <v>207</v>
      </c>
      <c r="Y298" s="120">
        <v>568.12</v>
      </c>
      <c r="Z298" s="120" t="s">
        <v>207</v>
      </c>
      <c r="AA298" s="120">
        <v>621.4</v>
      </c>
      <c r="AB298" s="120" t="s">
        <v>207</v>
      </c>
      <c r="AC298" s="120">
        <v>397.66</v>
      </c>
      <c r="AD298" s="120" t="s">
        <v>207</v>
      </c>
      <c r="AE298" s="120">
        <v>147.88999999999999</v>
      </c>
      <c r="AF298" s="120" t="s">
        <v>207</v>
      </c>
      <c r="AG298" s="120">
        <v>163.51</v>
      </c>
      <c r="AH298" s="120" t="s">
        <v>207</v>
      </c>
      <c r="AI298" s="120">
        <v>159.9</v>
      </c>
      <c r="AJ298" s="118" t="s">
        <v>207</v>
      </c>
      <c r="AK298" s="120">
        <v>158.33000000000001</v>
      </c>
      <c r="AL298" s="118" t="s">
        <v>207</v>
      </c>
      <c r="AM298" s="120">
        <v>172.4</v>
      </c>
      <c r="AN298" s="118" t="s">
        <v>207</v>
      </c>
      <c r="AO298" s="120">
        <v>379.37</v>
      </c>
      <c r="AP298" s="120" t="s">
        <v>207</v>
      </c>
      <c r="AQ298" s="120">
        <v>409.9</v>
      </c>
      <c r="AR298" s="120" t="s">
        <v>207</v>
      </c>
      <c r="AS298" s="120">
        <v>497.48</v>
      </c>
      <c r="AT298" s="120" t="s">
        <v>207</v>
      </c>
      <c r="AU298" s="118">
        <f t="shared" si="25"/>
        <v>4281.76</v>
      </c>
      <c r="AV298" s="88"/>
      <c r="AW298" s="88"/>
      <c r="AX298" s="88"/>
      <c r="AY298" s="88"/>
      <c r="AZ298" s="88"/>
    </row>
    <row r="299" spans="1:52" s="90" customFormat="1" ht="15" customHeight="1" x14ac:dyDescent="0.3">
      <c r="A299" s="114">
        <v>288</v>
      </c>
      <c r="B299" s="174" t="s">
        <v>980</v>
      </c>
      <c r="C299" s="120" t="s">
        <v>804</v>
      </c>
      <c r="D299" s="88"/>
      <c r="E299" s="88"/>
      <c r="F299" s="120" t="s">
        <v>958</v>
      </c>
      <c r="G299" s="25" t="s">
        <v>145</v>
      </c>
      <c r="H299" s="85" t="s">
        <v>146</v>
      </c>
      <c r="I299" s="89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116">
        <v>750.96</v>
      </c>
      <c r="V299" s="120">
        <v>789.54</v>
      </c>
      <c r="W299" s="120">
        <v>132.12</v>
      </c>
      <c r="X299" s="120" t="s">
        <v>207</v>
      </c>
      <c r="Y299" s="120">
        <v>110.12</v>
      </c>
      <c r="Z299" s="120" t="s">
        <v>207</v>
      </c>
      <c r="AA299" s="120">
        <v>69.849999999999994</v>
      </c>
      <c r="AB299" s="120" t="s">
        <v>207</v>
      </c>
      <c r="AC299" s="120">
        <v>19.34</v>
      </c>
      <c r="AD299" s="120" t="s">
        <v>207</v>
      </c>
      <c r="AE299" s="120" t="s">
        <v>1405</v>
      </c>
      <c r="AF299" s="120" t="s">
        <v>207</v>
      </c>
      <c r="AG299" s="120">
        <v>14.63</v>
      </c>
      <c r="AH299" s="120" t="s">
        <v>207</v>
      </c>
      <c r="AI299" s="120">
        <v>13.23</v>
      </c>
      <c r="AJ299" s="118" t="s">
        <v>207</v>
      </c>
      <c r="AK299" s="120">
        <v>37.04</v>
      </c>
      <c r="AL299" s="118" t="s">
        <v>207</v>
      </c>
      <c r="AM299" s="120">
        <v>107.43</v>
      </c>
      <c r="AN299" s="118" t="s">
        <v>207</v>
      </c>
      <c r="AO299" s="120">
        <v>96.68</v>
      </c>
      <c r="AP299" s="120" t="s">
        <v>207</v>
      </c>
      <c r="AQ299" s="120">
        <v>87.02</v>
      </c>
      <c r="AR299" s="120" t="s">
        <v>207</v>
      </c>
      <c r="AS299" s="120">
        <v>121.82</v>
      </c>
      <c r="AT299" s="120" t="s">
        <v>207</v>
      </c>
      <c r="AU299" s="118">
        <f t="shared" si="25"/>
        <v>809.28</v>
      </c>
      <c r="AV299" s="88"/>
      <c r="AW299" s="88"/>
      <c r="AX299" s="88"/>
      <c r="AY299" s="88"/>
      <c r="AZ299" s="88"/>
    </row>
    <row r="300" spans="1:52" s="90" customFormat="1" ht="15" customHeight="1" x14ac:dyDescent="0.3">
      <c r="A300" s="114">
        <v>289</v>
      </c>
      <c r="B300" s="174" t="s">
        <v>981</v>
      </c>
      <c r="C300" s="120" t="s">
        <v>804</v>
      </c>
      <c r="D300" s="88"/>
      <c r="E300" s="88"/>
      <c r="F300" s="120" t="s">
        <v>958</v>
      </c>
      <c r="G300" s="25" t="s">
        <v>145</v>
      </c>
      <c r="H300" s="85" t="s">
        <v>146</v>
      </c>
      <c r="I300" s="89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116">
        <v>3186.21</v>
      </c>
      <c r="V300" s="120">
        <v>3934.86</v>
      </c>
      <c r="W300" s="120">
        <v>463.52</v>
      </c>
      <c r="X300" s="120" t="s">
        <v>207</v>
      </c>
      <c r="Y300" s="120">
        <v>359.64</v>
      </c>
      <c r="Z300" s="120" t="s">
        <v>207</v>
      </c>
      <c r="AA300" s="120">
        <v>453.93</v>
      </c>
      <c r="AB300" s="120" t="s">
        <v>207</v>
      </c>
      <c r="AC300" s="120">
        <v>255.16</v>
      </c>
      <c r="AD300" s="120" t="s">
        <v>207</v>
      </c>
      <c r="AE300" s="120">
        <v>108.14</v>
      </c>
      <c r="AF300" s="120" t="s">
        <v>207</v>
      </c>
      <c r="AG300" s="120">
        <v>101.11</v>
      </c>
      <c r="AH300" s="120" t="s">
        <v>207</v>
      </c>
      <c r="AI300" s="120">
        <v>100.3</v>
      </c>
      <c r="AJ300" s="118" t="s">
        <v>207</v>
      </c>
      <c r="AK300" s="120">
        <v>104.23</v>
      </c>
      <c r="AL300" s="118" t="s">
        <v>207</v>
      </c>
      <c r="AM300" s="120">
        <v>89.96</v>
      </c>
      <c r="AN300" s="118" t="s">
        <v>207</v>
      </c>
      <c r="AO300" s="120">
        <v>263.49</v>
      </c>
      <c r="AP300" s="120" t="s">
        <v>207</v>
      </c>
      <c r="AQ300" s="120">
        <v>259.73</v>
      </c>
      <c r="AR300" s="120" t="s">
        <v>207</v>
      </c>
      <c r="AS300" s="120">
        <v>351.98</v>
      </c>
      <c r="AT300" s="120" t="s">
        <v>207</v>
      </c>
      <c r="AU300" s="118">
        <f t="shared" si="25"/>
        <v>2911.19</v>
      </c>
      <c r="AV300" s="88"/>
      <c r="AW300" s="88"/>
      <c r="AX300" s="88"/>
      <c r="AY300" s="88"/>
      <c r="AZ300" s="88"/>
    </row>
    <row r="301" spans="1:52" s="90" customFormat="1" ht="15" customHeight="1" x14ac:dyDescent="0.3">
      <c r="A301" s="114">
        <v>290</v>
      </c>
      <c r="B301" s="174" t="s">
        <v>982</v>
      </c>
      <c r="C301" s="120" t="s">
        <v>804</v>
      </c>
      <c r="D301" s="88"/>
      <c r="E301" s="88"/>
      <c r="F301" s="120" t="s">
        <v>958</v>
      </c>
      <c r="G301" s="25" t="s">
        <v>145</v>
      </c>
      <c r="H301" s="85" t="s">
        <v>146</v>
      </c>
      <c r="I301" s="89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116">
        <v>5104.74</v>
      </c>
      <c r="V301" s="120">
        <v>6145.23</v>
      </c>
      <c r="W301" s="120">
        <v>811.97</v>
      </c>
      <c r="X301" s="120" t="s">
        <v>207</v>
      </c>
      <c r="Y301" s="120">
        <v>763.21</v>
      </c>
      <c r="Z301" s="120" t="s">
        <v>207</v>
      </c>
      <c r="AA301" s="120">
        <v>860.12</v>
      </c>
      <c r="AB301" s="120" t="s">
        <v>207</v>
      </c>
      <c r="AC301" s="120">
        <v>518.23</v>
      </c>
      <c r="AD301" s="120" t="s">
        <v>207</v>
      </c>
      <c r="AE301" s="120">
        <v>302.12</v>
      </c>
      <c r="AF301" s="120" t="s">
        <v>207</v>
      </c>
      <c r="AG301" s="120">
        <v>182.06</v>
      </c>
      <c r="AH301" s="120" t="s">
        <v>207</v>
      </c>
      <c r="AI301" s="120">
        <v>174.85</v>
      </c>
      <c r="AJ301" s="118" t="s">
        <v>207</v>
      </c>
      <c r="AK301" s="120">
        <v>175.44</v>
      </c>
      <c r="AL301" s="118" t="s">
        <v>207</v>
      </c>
      <c r="AM301" s="120">
        <v>201.06</v>
      </c>
      <c r="AN301" s="118" t="s">
        <v>207</v>
      </c>
      <c r="AO301" s="120">
        <v>510.58</v>
      </c>
      <c r="AP301" s="120" t="s">
        <v>207</v>
      </c>
      <c r="AQ301" s="120">
        <v>566.47</v>
      </c>
      <c r="AR301" s="120" t="s">
        <v>207</v>
      </c>
      <c r="AS301" s="120">
        <v>687.98</v>
      </c>
      <c r="AT301" s="120" t="s">
        <v>207</v>
      </c>
      <c r="AU301" s="118">
        <f t="shared" si="25"/>
        <v>5754.09</v>
      </c>
      <c r="AV301" s="88"/>
      <c r="AW301" s="88"/>
      <c r="AX301" s="88"/>
      <c r="AY301" s="88"/>
      <c r="AZ301" s="88"/>
    </row>
    <row r="302" spans="1:52" s="90" customFormat="1" ht="15" customHeight="1" x14ac:dyDescent="0.3">
      <c r="A302" s="114">
        <v>291</v>
      </c>
      <c r="B302" s="174" t="s">
        <v>983</v>
      </c>
      <c r="C302" s="120" t="s">
        <v>804</v>
      </c>
      <c r="D302" s="88"/>
      <c r="E302" s="88"/>
      <c r="F302" s="120" t="s">
        <v>958</v>
      </c>
      <c r="G302" s="25" t="s">
        <v>145</v>
      </c>
      <c r="H302" s="85" t="s">
        <v>146</v>
      </c>
      <c r="I302" s="89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116">
        <v>3392.17</v>
      </c>
      <c r="V302" s="120">
        <v>4099.63</v>
      </c>
      <c r="W302" s="120">
        <v>521.30999999999995</v>
      </c>
      <c r="X302" s="120" t="s">
        <v>207</v>
      </c>
      <c r="Y302" s="120">
        <v>399.43</v>
      </c>
      <c r="Z302" s="120" t="s">
        <v>207</v>
      </c>
      <c r="AA302" s="120">
        <v>538.54999999999995</v>
      </c>
      <c r="AB302" s="120" t="s">
        <v>207</v>
      </c>
      <c r="AC302" s="120">
        <v>435.56</v>
      </c>
      <c r="AD302" s="120" t="s">
        <v>207</v>
      </c>
      <c r="AE302" s="120">
        <v>232.8</v>
      </c>
      <c r="AF302" s="120" t="s">
        <v>207</v>
      </c>
      <c r="AG302" s="120">
        <v>63.79</v>
      </c>
      <c r="AH302" s="120" t="s">
        <v>207</v>
      </c>
      <c r="AI302" s="120">
        <v>67.22</v>
      </c>
      <c r="AJ302" s="118" t="s">
        <v>207</v>
      </c>
      <c r="AK302" s="120">
        <v>64.25</v>
      </c>
      <c r="AL302" s="118" t="s">
        <v>207</v>
      </c>
      <c r="AM302" s="120">
        <v>68.14</v>
      </c>
      <c r="AN302" s="118" t="s">
        <v>207</v>
      </c>
      <c r="AO302" s="120">
        <v>274.56</v>
      </c>
      <c r="AP302" s="120" t="s">
        <v>207</v>
      </c>
      <c r="AQ302" s="120">
        <v>299.25</v>
      </c>
      <c r="AR302" s="120" t="s">
        <v>207</v>
      </c>
      <c r="AS302" s="120">
        <v>361.01</v>
      </c>
      <c r="AT302" s="120" t="s">
        <v>207</v>
      </c>
      <c r="AU302" s="118">
        <f t="shared" si="25"/>
        <v>3325.87</v>
      </c>
      <c r="AV302" s="88"/>
      <c r="AW302" s="88"/>
      <c r="AX302" s="88"/>
      <c r="AY302" s="88"/>
      <c r="AZ302" s="88"/>
    </row>
    <row r="303" spans="1:52" s="90" customFormat="1" ht="15" customHeight="1" x14ac:dyDescent="0.3">
      <c r="A303" s="114">
        <v>292</v>
      </c>
      <c r="B303" s="174" t="s">
        <v>984</v>
      </c>
      <c r="C303" s="120" t="s">
        <v>804</v>
      </c>
      <c r="D303" s="88"/>
      <c r="E303" s="88"/>
      <c r="F303" s="120" t="s">
        <v>958</v>
      </c>
      <c r="G303" s="25" t="s">
        <v>145</v>
      </c>
      <c r="H303" s="85" t="s">
        <v>146</v>
      </c>
      <c r="I303" s="89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116">
        <v>5178.17</v>
      </c>
      <c r="V303" s="120">
        <v>6249.28</v>
      </c>
      <c r="W303" s="120">
        <v>761.09</v>
      </c>
      <c r="X303" s="120" t="s">
        <v>207</v>
      </c>
      <c r="Y303" s="120">
        <v>600.07000000000005</v>
      </c>
      <c r="Z303" s="120" t="s">
        <v>207</v>
      </c>
      <c r="AA303" s="120">
        <v>809.72</v>
      </c>
      <c r="AB303" s="120" t="s">
        <v>207</v>
      </c>
      <c r="AC303" s="120">
        <v>629.53</v>
      </c>
      <c r="AD303" s="120" t="s">
        <v>207</v>
      </c>
      <c r="AE303" s="120">
        <v>311.19</v>
      </c>
      <c r="AF303" s="120" t="s">
        <v>207</v>
      </c>
      <c r="AG303" s="120">
        <v>187.27</v>
      </c>
      <c r="AH303" s="120" t="s">
        <v>207</v>
      </c>
      <c r="AI303" s="120">
        <v>192.82</v>
      </c>
      <c r="AJ303" s="118" t="s">
        <v>207</v>
      </c>
      <c r="AK303" s="120">
        <v>200.75</v>
      </c>
      <c r="AL303" s="118" t="s">
        <v>207</v>
      </c>
      <c r="AM303" s="120">
        <v>208.37</v>
      </c>
      <c r="AN303" s="118" t="s">
        <v>207</v>
      </c>
      <c r="AO303" s="120">
        <v>463.13</v>
      </c>
      <c r="AP303" s="120" t="s">
        <v>207</v>
      </c>
      <c r="AQ303" s="120">
        <v>580.04999999999995</v>
      </c>
      <c r="AR303" s="120" t="s">
        <v>207</v>
      </c>
      <c r="AS303" s="120">
        <v>611.71</v>
      </c>
      <c r="AT303" s="120" t="s">
        <v>207</v>
      </c>
      <c r="AU303" s="118">
        <f t="shared" si="25"/>
        <v>5555.7</v>
      </c>
      <c r="AV303" s="88"/>
      <c r="AW303" s="88"/>
      <c r="AX303" s="88"/>
      <c r="AY303" s="88"/>
      <c r="AZ303" s="88"/>
    </row>
    <row r="304" spans="1:52" s="90" customFormat="1" ht="15" customHeight="1" x14ac:dyDescent="0.3">
      <c r="A304" s="114">
        <v>293</v>
      </c>
      <c r="B304" s="174" t="s">
        <v>985</v>
      </c>
      <c r="C304" s="120" t="s">
        <v>804</v>
      </c>
      <c r="D304" s="88"/>
      <c r="E304" s="88"/>
      <c r="F304" s="120" t="s">
        <v>958</v>
      </c>
      <c r="G304" s="25" t="s">
        <v>145</v>
      </c>
      <c r="H304" s="85" t="s">
        <v>146</v>
      </c>
      <c r="I304" s="89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116"/>
      <c r="V304" s="120"/>
      <c r="W304" s="120">
        <v>0</v>
      </c>
      <c r="X304" s="120" t="s">
        <v>207</v>
      </c>
      <c r="Y304" s="120">
        <v>0</v>
      </c>
      <c r="Z304" s="120" t="s">
        <v>207</v>
      </c>
      <c r="AA304" s="120">
        <v>0</v>
      </c>
      <c r="AB304" s="120" t="s">
        <v>207</v>
      </c>
      <c r="AC304" s="120">
        <v>0</v>
      </c>
      <c r="AD304" s="120" t="s">
        <v>207</v>
      </c>
      <c r="AE304" s="120">
        <v>904.43</v>
      </c>
      <c r="AF304" s="120" t="s">
        <v>207</v>
      </c>
      <c r="AG304" s="120">
        <v>30.55</v>
      </c>
      <c r="AH304" s="120" t="s">
        <v>207</v>
      </c>
      <c r="AI304" s="120">
        <v>27.18</v>
      </c>
      <c r="AJ304" s="118" t="s">
        <v>207</v>
      </c>
      <c r="AK304" s="120">
        <v>26.24</v>
      </c>
      <c r="AL304" s="118" t="s">
        <v>207</v>
      </c>
      <c r="AM304" s="120">
        <v>33.549999999999997</v>
      </c>
      <c r="AN304" s="118" t="s">
        <v>207</v>
      </c>
      <c r="AO304" s="120">
        <v>152.41</v>
      </c>
      <c r="AP304" s="120" t="s">
        <v>207</v>
      </c>
      <c r="AQ304" s="120">
        <v>158.78</v>
      </c>
      <c r="AR304" s="120" t="s">
        <v>207</v>
      </c>
      <c r="AS304" s="120">
        <v>185.63</v>
      </c>
      <c r="AT304" s="120" t="s">
        <v>207</v>
      </c>
      <c r="AU304" s="118">
        <f t="shared" si="25"/>
        <v>1518.77</v>
      </c>
      <c r="AV304" s="88"/>
      <c r="AW304" s="88"/>
      <c r="AX304" s="88"/>
      <c r="AY304" s="88"/>
      <c r="AZ304" s="88"/>
    </row>
    <row r="305" spans="1:52" s="90" customFormat="1" ht="15" customHeight="1" x14ac:dyDescent="0.3">
      <c r="A305" s="114">
        <v>294</v>
      </c>
      <c r="B305" s="174" t="s">
        <v>986</v>
      </c>
      <c r="C305" s="120" t="s">
        <v>804</v>
      </c>
      <c r="D305" s="88"/>
      <c r="E305" s="88"/>
      <c r="F305" s="120" t="s">
        <v>958</v>
      </c>
      <c r="G305" s="25" t="s">
        <v>145</v>
      </c>
      <c r="H305" s="85" t="s">
        <v>146</v>
      </c>
      <c r="I305" s="89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116"/>
      <c r="V305" s="120"/>
      <c r="W305" s="120">
        <v>0</v>
      </c>
      <c r="X305" s="120" t="s">
        <v>207</v>
      </c>
      <c r="Y305" s="120">
        <v>0</v>
      </c>
      <c r="Z305" s="120" t="s">
        <v>207</v>
      </c>
      <c r="AA305" s="120">
        <v>0</v>
      </c>
      <c r="AB305" s="120" t="s">
        <v>207</v>
      </c>
      <c r="AC305" s="120">
        <v>0</v>
      </c>
      <c r="AD305" s="120" t="s">
        <v>207</v>
      </c>
      <c r="AE305" s="120">
        <v>869.88</v>
      </c>
      <c r="AF305" s="120" t="s">
        <v>207</v>
      </c>
      <c r="AG305" s="120">
        <v>25.03</v>
      </c>
      <c r="AH305" s="120" t="s">
        <v>207</v>
      </c>
      <c r="AI305" s="120">
        <v>23.22</v>
      </c>
      <c r="AJ305" s="118" t="s">
        <v>207</v>
      </c>
      <c r="AK305" s="120">
        <v>22.51</v>
      </c>
      <c r="AL305" s="118" t="s">
        <v>207</v>
      </c>
      <c r="AM305" s="120">
        <v>29.36</v>
      </c>
      <c r="AN305" s="118" t="s">
        <v>207</v>
      </c>
      <c r="AO305" s="120">
        <v>162.93</v>
      </c>
      <c r="AP305" s="120" t="s">
        <v>207</v>
      </c>
      <c r="AQ305" s="120">
        <v>152.66999999999999</v>
      </c>
      <c r="AR305" s="120" t="s">
        <v>207</v>
      </c>
      <c r="AS305" s="120">
        <v>185.29</v>
      </c>
      <c r="AT305" s="120" t="s">
        <v>207</v>
      </c>
      <c r="AU305" s="118">
        <f t="shared" si="25"/>
        <v>1470.89</v>
      </c>
      <c r="AV305" s="88"/>
      <c r="AW305" s="88"/>
      <c r="AX305" s="88"/>
      <c r="AY305" s="88"/>
      <c r="AZ305" s="88"/>
    </row>
    <row r="306" spans="1:52" s="90" customFormat="1" ht="15" customHeight="1" x14ac:dyDescent="0.3">
      <c r="A306" s="114">
        <v>295</v>
      </c>
      <c r="B306" s="174" t="s">
        <v>987</v>
      </c>
      <c r="C306" s="120" t="s">
        <v>804</v>
      </c>
      <c r="D306" s="88"/>
      <c r="E306" s="88"/>
      <c r="F306" s="120" t="s">
        <v>958</v>
      </c>
      <c r="G306" s="25" t="s">
        <v>145</v>
      </c>
      <c r="H306" s="85" t="s">
        <v>146</v>
      </c>
      <c r="I306" s="89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116">
        <v>3547.75</v>
      </c>
      <c r="V306" s="120">
        <v>4322.28</v>
      </c>
      <c r="W306" s="120">
        <v>420.08</v>
      </c>
      <c r="X306" s="120" t="s">
        <v>207</v>
      </c>
      <c r="Y306" s="120">
        <v>338.06</v>
      </c>
      <c r="Z306" s="120" t="s">
        <v>207</v>
      </c>
      <c r="AA306" s="120">
        <v>527.67999999999995</v>
      </c>
      <c r="AB306" s="120" t="s">
        <v>207</v>
      </c>
      <c r="AC306" s="120">
        <v>297.43</v>
      </c>
      <c r="AD306" s="120" t="s">
        <v>207</v>
      </c>
      <c r="AE306" s="120">
        <v>135.24</v>
      </c>
      <c r="AF306" s="120" t="s">
        <v>207</v>
      </c>
      <c r="AG306" s="120">
        <v>52.85</v>
      </c>
      <c r="AH306" s="120" t="s">
        <v>207</v>
      </c>
      <c r="AI306" s="120">
        <v>46.65</v>
      </c>
      <c r="AJ306" s="118" t="s">
        <v>207</v>
      </c>
      <c r="AK306" s="120">
        <v>48.12</v>
      </c>
      <c r="AL306" s="118" t="s">
        <v>207</v>
      </c>
      <c r="AM306" s="120">
        <v>65.959999999999994</v>
      </c>
      <c r="AN306" s="118" t="s">
        <v>207</v>
      </c>
      <c r="AO306" s="120">
        <v>306.45999999999998</v>
      </c>
      <c r="AP306" s="120" t="s">
        <v>207</v>
      </c>
      <c r="AQ306" s="120">
        <v>319.83999999999997</v>
      </c>
      <c r="AR306" s="120" t="s">
        <v>207</v>
      </c>
      <c r="AS306" s="120">
        <v>380.83</v>
      </c>
      <c r="AT306" s="120" t="s">
        <v>207</v>
      </c>
      <c r="AU306" s="118">
        <f t="shared" si="25"/>
        <v>2939.2</v>
      </c>
      <c r="AV306" s="88"/>
      <c r="AW306" s="88"/>
      <c r="AX306" s="88"/>
      <c r="AY306" s="88"/>
      <c r="AZ306" s="88"/>
    </row>
    <row r="307" spans="1:52" s="90" customFormat="1" ht="15" customHeight="1" x14ac:dyDescent="0.3">
      <c r="A307" s="114">
        <v>296</v>
      </c>
      <c r="B307" s="174" t="s">
        <v>988</v>
      </c>
      <c r="C307" s="120" t="s">
        <v>804</v>
      </c>
      <c r="D307" s="88"/>
      <c r="E307" s="88"/>
      <c r="F307" s="120" t="s">
        <v>958</v>
      </c>
      <c r="G307" s="25" t="s">
        <v>145</v>
      </c>
      <c r="H307" s="85" t="s">
        <v>146</v>
      </c>
      <c r="I307" s="89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116">
        <v>4212.91</v>
      </c>
      <c r="V307" s="120">
        <v>4689.6400000000003</v>
      </c>
      <c r="W307" s="120">
        <v>574.44000000000005</v>
      </c>
      <c r="X307" s="120" t="s">
        <v>207</v>
      </c>
      <c r="Y307" s="120">
        <v>478.7</v>
      </c>
      <c r="Z307" s="120" t="s">
        <v>207</v>
      </c>
      <c r="AA307" s="120">
        <v>438.45</v>
      </c>
      <c r="AB307" s="120" t="s">
        <v>207</v>
      </c>
      <c r="AC307" s="120">
        <v>108.6</v>
      </c>
      <c r="AD307" s="120" t="s">
        <v>207</v>
      </c>
      <c r="AE307" s="120">
        <v>104.42</v>
      </c>
      <c r="AF307" s="120" t="s">
        <v>207</v>
      </c>
      <c r="AG307" s="120">
        <v>103.02</v>
      </c>
      <c r="AH307" s="120" t="s">
        <v>207</v>
      </c>
      <c r="AI307" s="120">
        <v>288.45999999999998</v>
      </c>
      <c r="AJ307" s="118" t="s">
        <v>207</v>
      </c>
      <c r="AK307" s="120">
        <v>836.46</v>
      </c>
      <c r="AL307" s="118" t="s">
        <v>207</v>
      </c>
      <c r="AM307" s="120">
        <v>752.87</v>
      </c>
      <c r="AN307" s="118" t="s">
        <v>207</v>
      </c>
      <c r="AO307" s="120">
        <v>677.58</v>
      </c>
      <c r="AP307" s="120" t="s">
        <v>207</v>
      </c>
      <c r="AQ307" s="120">
        <v>948.62</v>
      </c>
      <c r="AR307" s="120" t="s">
        <v>207</v>
      </c>
      <c r="AS307" s="120">
        <v>312.25</v>
      </c>
      <c r="AT307" s="120" t="s">
        <v>207</v>
      </c>
      <c r="AU307" s="118">
        <f t="shared" si="25"/>
        <v>5623.87</v>
      </c>
      <c r="AV307" s="88"/>
      <c r="AW307" s="88"/>
      <c r="AX307" s="88"/>
      <c r="AY307" s="88"/>
      <c r="AZ307" s="88"/>
    </row>
    <row r="308" spans="1:52" s="90" customFormat="1" ht="15" customHeight="1" x14ac:dyDescent="0.3">
      <c r="A308" s="114">
        <v>297</v>
      </c>
      <c r="B308" s="174" t="s">
        <v>989</v>
      </c>
      <c r="C308" s="120" t="s">
        <v>804</v>
      </c>
      <c r="D308" s="88"/>
      <c r="E308" s="88"/>
      <c r="F308" s="120" t="s">
        <v>958</v>
      </c>
      <c r="G308" s="25" t="s">
        <v>145</v>
      </c>
      <c r="H308" s="85" t="s">
        <v>146</v>
      </c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116"/>
      <c r="V308" s="120"/>
      <c r="W308" s="286"/>
      <c r="X308" s="120" t="s">
        <v>207</v>
      </c>
      <c r="Y308" s="120">
        <v>0</v>
      </c>
      <c r="Z308" s="120" t="s">
        <v>207</v>
      </c>
      <c r="AA308" s="120">
        <v>0</v>
      </c>
      <c r="AB308" s="120" t="s">
        <v>207</v>
      </c>
      <c r="AC308" s="120">
        <v>0</v>
      </c>
      <c r="AD308" s="120" t="s">
        <v>207</v>
      </c>
      <c r="AE308" s="120">
        <v>973.42</v>
      </c>
      <c r="AF308" s="120" t="s">
        <v>207</v>
      </c>
      <c r="AG308" s="120">
        <v>35.96</v>
      </c>
      <c r="AH308" s="120" t="s">
        <v>207</v>
      </c>
      <c r="AI308" s="120">
        <v>29.95</v>
      </c>
      <c r="AJ308" s="118" t="s">
        <v>207</v>
      </c>
      <c r="AK308" s="120">
        <v>29.74</v>
      </c>
      <c r="AL308" s="118" t="s">
        <v>207</v>
      </c>
      <c r="AM308" s="120">
        <v>35.950000000000003</v>
      </c>
      <c r="AN308" s="118" t="s">
        <v>207</v>
      </c>
      <c r="AO308" s="120">
        <v>143.77000000000001</v>
      </c>
      <c r="AP308" s="120" t="s">
        <v>207</v>
      </c>
      <c r="AQ308" s="120">
        <v>140.69999999999999</v>
      </c>
      <c r="AR308" s="120" t="s">
        <v>207</v>
      </c>
      <c r="AS308" s="120">
        <v>181.88</v>
      </c>
      <c r="AT308" s="120" t="s">
        <v>207</v>
      </c>
      <c r="AU308" s="118">
        <f t="shared" si="25"/>
        <v>1571.37</v>
      </c>
      <c r="AV308" s="88"/>
      <c r="AW308" s="88"/>
      <c r="AX308" s="88"/>
      <c r="AY308" s="88"/>
      <c r="AZ308" s="88"/>
    </row>
    <row r="309" spans="1:52" s="90" customFormat="1" ht="15" customHeight="1" x14ac:dyDescent="0.3">
      <c r="A309" s="114">
        <v>298</v>
      </c>
      <c r="B309" s="174" t="s">
        <v>990</v>
      </c>
      <c r="C309" s="120" t="s">
        <v>804</v>
      </c>
      <c r="D309" s="88"/>
      <c r="E309" s="88"/>
      <c r="F309" s="120" t="s">
        <v>958</v>
      </c>
      <c r="G309" s="25" t="s">
        <v>145</v>
      </c>
      <c r="H309" s="85" t="s">
        <v>146</v>
      </c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116">
        <v>1567.51</v>
      </c>
      <c r="V309" s="120">
        <v>1894.42</v>
      </c>
      <c r="W309" s="120">
        <v>238.35</v>
      </c>
      <c r="X309" s="120" t="s">
        <v>207</v>
      </c>
      <c r="Y309" s="120">
        <v>199.65</v>
      </c>
      <c r="Z309" s="120" t="s">
        <v>207</v>
      </c>
      <c r="AA309" s="120">
        <v>264.68</v>
      </c>
      <c r="AB309" s="120" t="s">
        <v>207</v>
      </c>
      <c r="AC309" s="120">
        <v>140.53</v>
      </c>
      <c r="AD309" s="120" t="s">
        <v>207</v>
      </c>
      <c r="AE309" s="120">
        <v>68.91</v>
      </c>
      <c r="AF309" s="120" t="s">
        <v>207</v>
      </c>
      <c r="AG309" s="120">
        <v>30.72</v>
      </c>
      <c r="AH309" s="120" t="s">
        <v>207</v>
      </c>
      <c r="AI309" s="120">
        <v>29.9</v>
      </c>
      <c r="AJ309" s="118" t="s">
        <v>207</v>
      </c>
      <c r="AK309" s="120">
        <v>24.32</v>
      </c>
      <c r="AL309" s="118" t="s">
        <v>207</v>
      </c>
      <c r="AM309" s="120">
        <v>32.03</v>
      </c>
      <c r="AN309" s="118" t="s">
        <v>207</v>
      </c>
      <c r="AO309" s="120">
        <v>142.13999999999999</v>
      </c>
      <c r="AP309" s="120" t="s">
        <v>207</v>
      </c>
      <c r="AQ309" s="120">
        <v>134.19999999999999</v>
      </c>
      <c r="AR309" s="120" t="s">
        <v>207</v>
      </c>
      <c r="AS309" s="120">
        <v>171.73</v>
      </c>
      <c r="AT309" s="120" t="s">
        <v>207</v>
      </c>
      <c r="AU309" s="118">
        <f t="shared" si="25"/>
        <v>1477.16</v>
      </c>
      <c r="AV309" s="88"/>
      <c r="AW309" s="88"/>
      <c r="AX309" s="88"/>
      <c r="AY309" s="88"/>
      <c r="AZ309" s="88"/>
    </row>
    <row r="310" spans="1:52" s="90" customFormat="1" ht="15" customHeight="1" x14ac:dyDescent="0.3">
      <c r="A310" s="114">
        <v>299</v>
      </c>
      <c r="B310" s="174" t="s">
        <v>991</v>
      </c>
      <c r="C310" s="120" t="s">
        <v>804</v>
      </c>
      <c r="D310" s="288"/>
      <c r="E310" s="288"/>
      <c r="F310" s="120" t="s">
        <v>958</v>
      </c>
      <c r="G310" s="289"/>
      <c r="H310" s="287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116">
        <v>3133.1</v>
      </c>
      <c r="V310" s="120">
        <v>3794.44</v>
      </c>
      <c r="W310" s="120">
        <v>487.04</v>
      </c>
      <c r="X310" s="120" t="s">
        <v>207</v>
      </c>
      <c r="Y310" s="120">
        <v>381.5</v>
      </c>
      <c r="Z310" s="120" t="s">
        <v>207</v>
      </c>
      <c r="AA310" s="120">
        <v>495.97</v>
      </c>
      <c r="AB310" s="120" t="s">
        <v>207</v>
      </c>
      <c r="AC310" s="120">
        <v>243.11</v>
      </c>
      <c r="AD310" s="120" t="s">
        <v>207</v>
      </c>
      <c r="AE310" s="120">
        <v>121.32</v>
      </c>
      <c r="AF310" s="120" t="s">
        <v>207</v>
      </c>
      <c r="AG310" s="120">
        <v>54.74</v>
      </c>
      <c r="AH310" s="120" t="s">
        <v>207</v>
      </c>
      <c r="AI310" s="120">
        <v>46.56</v>
      </c>
      <c r="AJ310" s="118" t="s">
        <v>207</v>
      </c>
      <c r="AK310" s="120">
        <v>70.209999999999994</v>
      </c>
      <c r="AL310" s="118" t="s">
        <v>207</v>
      </c>
      <c r="AM310" s="120">
        <v>60.06</v>
      </c>
      <c r="AN310" s="118" t="s">
        <v>207</v>
      </c>
      <c r="AO310" s="120">
        <v>280.25</v>
      </c>
      <c r="AP310" s="120" t="s">
        <v>207</v>
      </c>
      <c r="AQ310" s="120">
        <v>275.91000000000003</v>
      </c>
      <c r="AR310" s="120" t="s">
        <v>207</v>
      </c>
      <c r="AS310" s="120">
        <v>372.66</v>
      </c>
      <c r="AT310" s="120" t="s">
        <v>207</v>
      </c>
      <c r="AU310" s="118">
        <f t="shared" si="25"/>
        <v>2889.3299999999995</v>
      </c>
      <c r="AV310" s="88"/>
      <c r="AW310" s="88"/>
      <c r="AX310" s="88"/>
      <c r="AY310" s="88"/>
      <c r="AZ310" s="88"/>
    </row>
    <row r="311" spans="1:52" s="90" customFormat="1" ht="15" customHeight="1" x14ac:dyDescent="0.3">
      <c r="A311" s="114">
        <v>300</v>
      </c>
      <c r="B311" s="174" t="s">
        <v>992</v>
      </c>
      <c r="C311" s="120" t="s">
        <v>804</v>
      </c>
      <c r="D311" s="88"/>
      <c r="E311" s="88"/>
      <c r="F311" s="120" t="s">
        <v>958</v>
      </c>
      <c r="G311" s="25" t="s">
        <v>145</v>
      </c>
      <c r="H311" s="85" t="s">
        <v>146</v>
      </c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116">
        <v>1978.32</v>
      </c>
      <c r="V311" s="120">
        <v>2059.31</v>
      </c>
      <c r="W311" s="120">
        <v>251.46</v>
      </c>
      <c r="X311" s="120" t="s">
        <v>207</v>
      </c>
      <c r="Y311" s="120">
        <v>209.55</v>
      </c>
      <c r="Z311" s="120" t="s">
        <v>207</v>
      </c>
      <c r="AA311" s="120">
        <v>169.3</v>
      </c>
      <c r="AB311" s="120" t="s">
        <v>207</v>
      </c>
      <c r="AC311" s="120">
        <v>31.1</v>
      </c>
      <c r="AD311" s="120" t="s">
        <v>207</v>
      </c>
      <c r="AE311" s="120">
        <v>43.34</v>
      </c>
      <c r="AF311" s="120" t="s">
        <v>207</v>
      </c>
      <c r="AG311" s="120">
        <v>41.64</v>
      </c>
      <c r="AH311" s="120" t="s">
        <v>207</v>
      </c>
      <c r="AI311" s="120">
        <v>40.24</v>
      </c>
      <c r="AJ311" s="118" t="s">
        <v>207</v>
      </c>
      <c r="AK311" s="120">
        <v>112.67</v>
      </c>
      <c r="AL311" s="118" t="s">
        <v>207</v>
      </c>
      <c r="AM311" s="120">
        <v>326.75</v>
      </c>
      <c r="AN311" s="118" t="s">
        <v>207</v>
      </c>
      <c r="AO311" s="120">
        <v>294.07</v>
      </c>
      <c r="AP311" s="120" t="s">
        <v>207</v>
      </c>
      <c r="AQ311" s="120">
        <v>264.67</v>
      </c>
      <c r="AR311" s="120" t="s">
        <v>207</v>
      </c>
      <c r="AS311" s="120">
        <v>370.53</v>
      </c>
      <c r="AT311" s="120" t="s">
        <v>207</v>
      </c>
      <c r="AU311" s="118">
        <f t="shared" si="25"/>
        <v>2155.3199999999997</v>
      </c>
      <c r="AV311" s="88"/>
      <c r="AW311" s="88"/>
      <c r="AX311" s="88"/>
      <c r="AY311" s="88"/>
      <c r="AZ311" s="88"/>
    </row>
    <row r="312" spans="1:52" s="90" customFormat="1" ht="15" customHeight="1" x14ac:dyDescent="0.3">
      <c r="A312" s="114">
        <v>301</v>
      </c>
      <c r="B312" s="174" t="s">
        <v>993</v>
      </c>
      <c r="C312" s="120" t="s">
        <v>804</v>
      </c>
      <c r="D312" s="88"/>
      <c r="E312" s="88"/>
      <c r="F312" s="120" t="s">
        <v>958</v>
      </c>
      <c r="G312" s="25" t="s">
        <v>145</v>
      </c>
      <c r="H312" s="85" t="s">
        <v>146</v>
      </c>
      <c r="I312" s="290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116"/>
      <c r="V312" s="120"/>
      <c r="W312" s="120"/>
      <c r="X312" s="120" t="s">
        <v>207</v>
      </c>
      <c r="Y312" s="120"/>
      <c r="Z312" s="120" t="s">
        <v>207</v>
      </c>
      <c r="AA312" s="120"/>
      <c r="AB312" s="120" t="s">
        <v>207</v>
      </c>
      <c r="AC312" s="120"/>
      <c r="AD312" s="120" t="s">
        <v>207</v>
      </c>
      <c r="AE312" s="120"/>
      <c r="AF312" s="120" t="s">
        <v>207</v>
      </c>
      <c r="AG312" s="120"/>
      <c r="AH312" s="120" t="s">
        <v>207</v>
      </c>
      <c r="AI312" s="120"/>
      <c r="AJ312" s="118" t="s">
        <v>207</v>
      </c>
      <c r="AK312" s="120"/>
      <c r="AL312" s="118" t="s">
        <v>207</v>
      </c>
      <c r="AM312" s="120"/>
      <c r="AN312" s="118" t="s">
        <v>207</v>
      </c>
      <c r="AO312" s="120"/>
      <c r="AP312" s="120" t="s">
        <v>207</v>
      </c>
      <c r="AQ312" s="120"/>
      <c r="AR312" s="120" t="s">
        <v>207</v>
      </c>
      <c r="AS312" s="120"/>
      <c r="AT312" s="120" t="s">
        <v>207</v>
      </c>
      <c r="AU312" s="118">
        <f t="shared" si="25"/>
        <v>0</v>
      </c>
      <c r="AV312" s="88"/>
      <c r="AW312" s="88"/>
      <c r="AX312" s="88"/>
      <c r="AY312" s="88"/>
      <c r="AZ312" s="88"/>
    </row>
    <row r="313" spans="1:52" s="90" customFormat="1" ht="15" customHeight="1" x14ac:dyDescent="0.3">
      <c r="A313" s="114">
        <v>302</v>
      </c>
      <c r="B313" s="174" t="s">
        <v>994</v>
      </c>
      <c r="C313" s="120" t="s">
        <v>804</v>
      </c>
      <c r="D313" s="88"/>
      <c r="E313" s="88"/>
      <c r="F313" s="120" t="s">
        <v>958</v>
      </c>
      <c r="G313" s="25" t="s">
        <v>145</v>
      </c>
      <c r="H313" s="85" t="s">
        <v>146</v>
      </c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116"/>
      <c r="V313" s="120"/>
      <c r="W313" s="120"/>
      <c r="X313" s="120" t="s">
        <v>207</v>
      </c>
      <c r="Y313" s="120"/>
      <c r="Z313" s="120" t="s">
        <v>207</v>
      </c>
      <c r="AA313" s="120"/>
      <c r="AB313" s="120" t="s">
        <v>207</v>
      </c>
      <c r="AC313" s="120"/>
      <c r="AD313" s="120" t="s">
        <v>207</v>
      </c>
      <c r="AE313" s="120"/>
      <c r="AF313" s="120" t="s">
        <v>207</v>
      </c>
      <c r="AG313" s="120"/>
      <c r="AH313" s="120" t="s">
        <v>207</v>
      </c>
      <c r="AI313" s="120"/>
      <c r="AJ313" s="118" t="s">
        <v>207</v>
      </c>
      <c r="AK313" s="120"/>
      <c r="AL313" s="118" t="s">
        <v>207</v>
      </c>
      <c r="AM313" s="120"/>
      <c r="AN313" s="118" t="s">
        <v>207</v>
      </c>
      <c r="AO313" s="120"/>
      <c r="AP313" s="120" t="s">
        <v>207</v>
      </c>
      <c r="AQ313" s="120"/>
      <c r="AR313" s="120" t="s">
        <v>207</v>
      </c>
      <c r="AS313" s="120"/>
      <c r="AT313" s="120" t="s">
        <v>207</v>
      </c>
      <c r="AU313" s="118">
        <f t="shared" si="25"/>
        <v>0</v>
      </c>
      <c r="AV313" s="88"/>
      <c r="AW313" s="88"/>
      <c r="AX313" s="88"/>
      <c r="AY313" s="88"/>
      <c r="AZ313" s="88"/>
    </row>
    <row r="314" spans="1:52" s="90" customFormat="1" ht="15" customHeight="1" x14ac:dyDescent="0.3">
      <c r="A314" s="114">
        <v>303</v>
      </c>
      <c r="B314" s="174" t="s">
        <v>995</v>
      </c>
      <c r="C314" s="120" t="s">
        <v>804</v>
      </c>
      <c r="D314" s="88"/>
      <c r="E314" s="88"/>
      <c r="F314" s="120" t="s">
        <v>958</v>
      </c>
      <c r="G314" s="25" t="s">
        <v>145</v>
      </c>
      <c r="H314" s="85" t="s">
        <v>146</v>
      </c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116">
        <v>1352.72</v>
      </c>
      <c r="V314" s="120">
        <v>1640.04</v>
      </c>
      <c r="W314" s="120">
        <v>207.6</v>
      </c>
      <c r="X314" s="120" t="s">
        <v>207</v>
      </c>
      <c r="Y314" s="120">
        <v>161.38999999999999</v>
      </c>
      <c r="Z314" s="120" t="s">
        <v>207</v>
      </c>
      <c r="AA314" s="120">
        <v>213.19</v>
      </c>
      <c r="AB314" s="120" t="s">
        <v>207</v>
      </c>
      <c r="AC314" s="120">
        <v>115.35</v>
      </c>
      <c r="AD314" s="120" t="s">
        <v>207</v>
      </c>
      <c r="AE314" s="120">
        <v>5.15</v>
      </c>
      <c r="AF314" s="120" t="s">
        <v>207</v>
      </c>
      <c r="AG314" s="120">
        <v>30.1</v>
      </c>
      <c r="AH314" s="120" t="s">
        <v>207</v>
      </c>
      <c r="AI314" s="120">
        <v>30.09</v>
      </c>
      <c r="AJ314" s="118" t="s">
        <v>207</v>
      </c>
      <c r="AK314" s="120">
        <v>27.6</v>
      </c>
      <c r="AL314" s="118" t="s">
        <v>207</v>
      </c>
      <c r="AM314" s="120">
        <v>57.34</v>
      </c>
      <c r="AN314" s="118" t="s">
        <v>207</v>
      </c>
      <c r="AO314" s="120">
        <v>126.01</v>
      </c>
      <c r="AP314" s="120" t="s">
        <v>207</v>
      </c>
      <c r="AQ314" s="120">
        <v>132.33000000000001</v>
      </c>
      <c r="AR314" s="120" t="s">
        <v>207</v>
      </c>
      <c r="AS314" s="120">
        <v>170.82</v>
      </c>
      <c r="AT314" s="120" t="s">
        <v>207</v>
      </c>
      <c r="AU314" s="118">
        <f t="shared" si="25"/>
        <v>1276.97</v>
      </c>
      <c r="AV314" s="88"/>
      <c r="AW314" s="88"/>
      <c r="AX314" s="88"/>
      <c r="AY314" s="88"/>
      <c r="AZ314" s="88"/>
    </row>
    <row r="315" spans="1:52" s="90" customFormat="1" ht="15" customHeight="1" x14ac:dyDescent="0.3">
      <c r="A315" s="114">
        <v>304</v>
      </c>
      <c r="B315" s="174" t="s">
        <v>996</v>
      </c>
      <c r="C315" s="120" t="s">
        <v>804</v>
      </c>
      <c r="D315" s="88"/>
      <c r="E315" s="88"/>
      <c r="F315" s="120" t="s">
        <v>958</v>
      </c>
      <c r="G315" s="25" t="s">
        <v>145</v>
      </c>
      <c r="H315" s="85" t="s">
        <v>146</v>
      </c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116"/>
      <c r="V315" s="120"/>
      <c r="W315" s="120"/>
      <c r="X315" s="120" t="s">
        <v>207</v>
      </c>
      <c r="Y315" s="120"/>
      <c r="Z315" s="120" t="s">
        <v>207</v>
      </c>
      <c r="AA315" s="120"/>
      <c r="AB315" s="120" t="s">
        <v>207</v>
      </c>
      <c r="AC315" s="120"/>
      <c r="AD315" s="120" t="s">
        <v>207</v>
      </c>
      <c r="AE315" s="120"/>
      <c r="AF315" s="120" t="s">
        <v>207</v>
      </c>
      <c r="AG315" s="120"/>
      <c r="AH315" s="120" t="s">
        <v>207</v>
      </c>
      <c r="AI315" s="120"/>
      <c r="AJ315" s="118" t="s">
        <v>207</v>
      </c>
      <c r="AK315" s="120"/>
      <c r="AL315" s="118" t="s">
        <v>207</v>
      </c>
      <c r="AM315" s="120"/>
      <c r="AN315" s="118" t="s">
        <v>207</v>
      </c>
      <c r="AO315" s="120"/>
      <c r="AP315" s="120" t="s">
        <v>207</v>
      </c>
      <c r="AQ315" s="120"/>
      <c r="AR315" s="120" t="s">
        <v>207</v>
      </c>
      <c r="AS315" s="120"/>
      <c r="AT315" s="120" t="s">
        <v>207</v>
      </c>
      <c r="AU315" s="118">
        <f t="shared" si="25"/>
        <v>0</v>
      </c>
      <c r="AV315" s="88"/>
      <c r="AW315" s="88"/>
      <c r="AX315" s="88"/>
      <c r="AY315" s="88"/>
      <c r="AZ315" s="88"/>
    </row>
    <row r="316" spans="1:52" s="90" customFormat="1" ht="15" customHeight="1" x14ac:dyDescent="0.3">
      <c r="A316" s="114">
        <v>305</v>
      </c>
      <c r="B316" s="174" t="s">
        <v>997</v>
      </c>
      <c r="C316" s="120" t="s">
        <v>804</v>
      </c>
      <c r="D316" s="88"/>
      <c r="E316" s="88"/>
      <c r="F316" s="120" t="s">
        <v>958</v>
      </c>
      <c r="G316" s="25" t="s">
        <v>145</v>
      </c>
      <c r="H316" s="85" t="s">
        <v>146</v>
      </c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116"/>
      <c r="V316" s="120"/>
      <c r="W316" s="120">
        <v>0</v>
      </c>
      <c r="X316" s="120" t="s">
        <v>207</v>
      </c>
      <c r="Y316" s="120">
        <v>0</v>
      </c>
      <c r="Z316" s="120" t="s">
        <v>207</v>
      </c>
      <c r="AA316" s="120">
        <v>0</v>
      </c>
      <c r="AB316" s="120" t="s">
        <v>207</v>
      </c>
      <c r="AC316" s="120">
        <v>0</v>
      </c>
      <c r="AD316" s="120" t="s">
        <v>207</v>
      </c>
      <c r="AE316" s="120">
        <v>865.87</v>
      </c>
      <c r="AF316" s="120" t="s">
        <v>207</v>
      </c>
      <c r="AG316" s="120">
        <v>29.28</v>
      </c>
      <c r="AH316" s="120" t="s">
        <v>207</v>
      </c>
      <c r="AI316" s="120">
        <v>33.01</v>
      </c>
      <c r="AJ316" s="118" t="s">
        <v>207</v>
      </c>
      <c r="AK316" s="120">
        <v>29.32</v>
      </c>
      <c r="AL316" s="118" t="s">
        <v>207</v>
      </c>
      <c r="AM316" s="120">
        <v>39.86</v>
      </c>
      <c r="AN316" s="118" t="s">
        <v>207</v>
      </c>
      <c r="AO316" s="120">
        <v>133.43</v>
      </c>
      <c r="AP316" s="120" t="s">
        <v>207</v>
      </c>
      <c r="AQ316" s="120">
        <v>146.51</v>
      </c>
      <c r="AR316" s="120" t="s">
        <v>207</v>
      </c>
      <c r="AS316" s="120">
        <v>193.21</v>
      </c>
      <c r="AT316" s="120" t="s">
        <v>207</v>
      </c>
      <c r="AU316" s="118">
        <f t="shared" si="25"/>
        <v>1470.49</v>
      </c>
      <c r="AV316" s="88"/>
      <c r="AW316" s="88"/>
      <c r="AX316" s="88"/>
      <c r="AY316" s="88"/>
      <c r="AZ316" s="88"/>
    </row>
    <row r="317" spans="1:52" s="90" customFormat="1" ht="15" customHeight="1" x14ac:dyDescent="0.3">
      <c r="A317" s="114">
        <v>306</v>
      </c>
      <c r="B317" s="174" t="s">
        <v>998</v>
      </c>
      <c r="C317" s="120" t="s">
        <v>804</v>
      </c>
      <c r="D317" s="88"/>
      <c r="E317" s="88"/>
      <c r="F317" s="120" t="s">
        <v>958</v>
      </c>
      <c r="G317" s="25" t="s">
        <v>145</v>
      </c>
      <c r="H317" s="85" t="s">
        <v>146</v>
      </c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116">
        <v>1936.58</v>
      </c>
      <c r="V317" s="120">
        <v>2329.6999999999998</v>
      </c>
      <c r="W317" s="120">
        <v>299.3</v>
      </c>
      <c r="X317" s="120" t="s">
        <v>207</v>
      </c>
      <c r="Y317" s="120">
        <v>224.32</v>
      </c>
      <c r="Z317" s="120" t="s">
        <v>207</v>
      </c>
      <c r="AA317" s="120">
        <v>297.14999999999998</v>
      </c>
      <c r="AB317" s="120" t="s">
        <v>207</v>
      </c>
      <c r="AC317" s="120">
        <v>186.4</v>
      </c>
      <c r="AD317" s="120" t="s">
        <v>207</v>
      </c>
      <c r="AE317" s="120">
        <v>119.21</v>
      </c>
      <c r="AF317" s="120" t="s">
        <v>207</v>
      </c>
      <c r="AG317" s="120">
        <v>45.61</v>
      </c>
      <c r="AH317" s="120" t="s">
        <v>207</v>
      </c>
      <c r="AI317" s="120">
        <v>40.97</v>
      </c>
      <c r="AJ317" s="118" t="s">
        <v>207</v>
      </c>
      <c r="AK317" s="120">
        <v>41.58</v>
      </c>
      <c r="AL317" s="118" t="s">
        <v>207</v>
      </c>
      <c r="AM317" s="120">
        <v>55.68</v>
      </c>
      <c r="AN317" s="118" t="s">
        <v>207</v>
      </c>
      <c r="AO317" s="120">
        <v>180.25</v>
      </c>
      <c r="AP317" s="120" t="s">
        <v>207</v>
      </c>
      <c r="AQ317" s="120">
        <v>192.13</v>
      </c>
      <c r="AR317" s="120" t="s">
        <v>207</v>
      </c>
      <c r="AS317" s="120">
        <v>228.16</v>
      </c>
      <c r="AT317" s="120" t="s">
        <v>207</v>
      </c>
      <c r="AU317" s="118">
        <v>1910.76</v>
      </c>
      <c r="AV317" s="88"/>
      <c r="AW317" s="88"/>
      <c r="AX317" s="88"/>
      <c r="AY317" s="88"/>
      <c r="AZ317" s="88"/>
    </row>
    <row r="318" spans="1:52" s="90" customFormat="1" ht="15" customHeight="1" x14ac:dyDescent="0.3">
      <c r="A318" s="114">
        <v>307</v>
      </c>
      <c r="B318" s="174" t="s">
        <v>999</v>
      </c>
      <c r="C318" s="120" t="s">
        <v>804</v>
      </c>
      <c r="D318" s="88"/>
      <c r="E318" s="88"/>
      <c r="F318" s="120" t="s">
        <v>958</v>
      </c>
      <c r="G318" s="25" t="s">
        <v>145</v>
      </c>
      <c r="H318" s="85" t="s">
        <v>146</v>
      </c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116">
        <v>805.72</v>
      </c>
      <c r="V318" s="120">
        <v>1003.9</v>
      </c>
      <c r="W318" s="120">
        <v>115.5</v>
      </c>
      <c r="X318" s="120" t="s">
        <v>207</v>
      </c>
      <c r="Y318" s="120">
        <v>100.85</v>
      </c>
      <c r="Z318" s="120" t="s">
        <v>207</v>
      </c>
      <c r="AA318" s="120">
        <v>112.36</v>
      </c>
      <c r="AB318" s="120" t="s">
        <v>207</v>
      </c>
      <c r="AC318" s="120">
        <v>101.12</v>
      </c>
      <c r="AD318" s="120" t="s">
        <v>207</v>
      </c>
      <c r="AE318" s="120">
        <v>55.3</v>
      </c>
      <c r="AF318" s="120" t="s">
        <v>207</v>
      </c>
      <c r="AG318" s="120">
        <v>18.77</v>
      </c>
      <c r="AH318" s="120" t="s">
        <v>207</v>
      </c>
      <c r="AI318" s="120">
        <v>17.98</v>
      </c>
      <c r="AJ318" s="118" t="s">
        <v>207</v>
      </c>
      <c r="AK318" s="120">
        <v>17.649999999999999</v>
      </c>
      <c r="AL318" s="118" t="s">
        <v>207</v>
      </c>
      <c r="AM318" s="120">
        <v>19.5</v>
      </c>
      <c r="AN318" s="118" t="s">
        <v>207</v>
      </c>
      <c r="AO318" s="120">
        <v>62.63</v>
      </c>
      <c r="AP318" s="120" t="s">
        <v>207</v>
      </c>
      <c r="AQ318" s="120">
        <v>58.26</v>
      </c>
      <c r="AR318" s="120" t="s">
        <v>207</v>
      </c>
      <c r="AS318" s="120">
        <v>77.28</v>
      </c>
      <c r="AT318" s="120" t="s">
        <v>207</v>
      </c>
      <c r="AU318" s="118">
        <v>757.19999999999993</v>
      </c>
      <c r="AV318" s="88"/>
      <c r="AW318" s="88"/>
      <c r="AX318" s="88"/>
      <c r="AY318" s="88"/>
      <c r="AZ318" s="88"/>
    </row>
    <row r="319" spans="1:52" s="90" customFormat="1" ht="15" customHeight="1" x14ac:dyDescent="0.3">
      <c r="A319" s="114">
        <v>308</v>
      </c>
      <c r="B319" s="174" t="s">
        <v>1000</v>
      </c>
      <c r="C319" s="120" t="s">
        <v>804</v>
      </c>
      <c r="D319" s="88"/>
      <c r="E319" s="88"/>
      <c r="F319" s="120" t="s">
        <v>958</v>
      </c>
      <c r="G319" s="25" t="s">
        <v>145</v>
      </c>
      <c r="H319" s="85" t="s">
        <v>146</v>
      </c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116">
        <v>2131.98</v>
      </c>
      <c r="V319" s="120">
        <v>2558.4</v>
      </c>
      <c r="W319" s="120">
        <v>304.12</v>
      </c>
      <c r="X319" s="120" t="s">
        <v>207</v>
      </c>
      <c r="Y319" s="120">
        <v>289.12</v>
      </c>
      <c r="Z319" s="120" t="s">
        <v>207</v>
      </c>
      <c r="AA319" s="120">
        <v>302.45999999999998</v>
      </c>
      <c r="AB319" s="120" t="s">
        <v>207</v>
      </c>
      <c r="AC319" s="120">
        <v>149.12</v>
      </c>
      <c r="AD319" s="120" t="s">
        <v>207</v>
      </c>
      <c r="AE319" s="120">
        <v>98.47</v>
      </c>
      <c r="AF319" s="120" t="s">
        <v>207</v>
      </c>
      <c r="AG319" s="120">
        <v>33.78</v>
      </c>
      <c r="AH319" s="120" t="s">
        <v>207</v>
      </c>
      <c r="AI319" s="120">
        <v>32.85</v>
      </c>
      <c r="AJ319" s="118" t="s">
        <v>207</v>
      </c>
      <c r="AK319" s="120">
        <v>38.14</v>
      </c>
      <c r="AL319" s="118" t="s">
        <v>207</v>
      </c>
      <c r="AM319" s="120">
        <v>49.45</v>
      </c>
      <c r="AN319" s="118" t="s">
        <v>207</v>
      </c>
      <c r="AO319" s="120">
        <v>157.47</v>
      </c>
      <c r="AP319" s="120" t="s">
        <v>207</v>
      </c>
      <c r="AQ319" s="120">
        <v>168.14</v>
      </c>
      <c r="AR319" s="120" t="s">
        <v>207</v>
      </c>
      <c r="AS319" s="120">
        <v>194.13</v>
      </c>
      <c r="AT319" s="120" t="s">
        <v>207</v>
      </c>
      <c r="AU319" s="118">
        <v>1817.2500000000005</v>
      </c>
      <c r="AV319" s="88"/>
      <c r="AW319" s="88"/>
      <c r="AX319" s="88"/>
      <c r="AY319" s="88"/>
      <c r="AZ319" s="88"/>
    </row>
    <row r="320" spans="1:52" s="90" customFormat="1" ht="15" customHeight="1" x14ac:dyDescent="0.3">
      <c r="A320" s="114">
        <v>309</v>
      </c>
      <c r="B320" s="174" t="s">
        <v>1001</v>
      </c>
      <c r="C320" s="120" t="s">
        <v>804</v>
      </c>
      <c r="D320" s="88"/>
      <c r="E320" s="88"/>
      <c r="F320" s="120" t="s">
        <v>958</v>
      </c>
      <c r="G320" s="25" t="s">
        <v>145</v>
      </c>
      <c r="H320" s="85" t="s">
        <v>146</v>
      </c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116">
        <v>2417.19</v>
      </c>
      <c r="V320" s="120">
        <v>2905.2</v>
      </c>
      <c r="W320" s="120">
        <v>347.8</v>
      </c>
      <c r="X320" s="120" t="s">
        <v>207</v>
      </c>
      <c r="Y320" s="120">
        <v>357.12</v>
      </c>
      <c r="Z320" s="120" t="s">
        <v>207</v>
      </c>
      <c r="AA320" s="120">
        <v>328.47</v>
      </c>
      <c r="AB320" s="120" t="s">
        <v>207</v>
      </c>
      <c r="AC320" s="120">
        <v>197.68</v>
      </c>
      <c r="AD320" s="120" t="s">
        <v>207</v>
      </c>
      <c r="AE320" s="120">
        <v>104.25</v>
      </c>
      <c r="AF320" s="120" t="s">
        <v>207</v>
      </c>
      <c r="AG320" s="120">
        <v>53.58</v>
      </c>
      <c r="AH320" s="120" t="s">
        <v>207</v>
      </c>
      <c r="AI320" s="120">
        <v>51.88</v>
      </c>
      <c r="AJ320" s="118" t="s">
        <v>207</v>
      </c>
      <c r="AK320" s="120">
        <v>48.89</v>
      </c>
      <c r="AL320" s="118" t="s">
        <v>207</v>
      </c>
      <c r="AM320" s="120">
        <v>60.48</v>
      </c>
      <c r="AN320" s="118" t="s">
        <v>207</v>
      </c>
      <c r="AO320" s="120">
        <v>201.23</v>
      </c>
      <c r="AP320" s="120" t="s">
        <v>207</v>
      </c>
      <c r="AQ320" s="120">
        <v>187.46</v>
      </c>
      <c r="AR320" s="120" t="s">
        <v>207</v>
      </c>
      <c r="AS320" s="120">
        <v>243.6</v>
      </c>
      <c r="AT320" s="120" t="s">
        <v>207</v>
      </c>
      <c r="AU320" s="118">
        <v>2182.4400000000005</v>
      </c>
      <c r="AV320" s="88"/>
      <c r="AW320" s="88"/>
      <c r="AX320" s="88"/>
      <c r="AY320" s="88"/>
      <c r="AZ320" s="88"/>
    </row>
    <row r="321" spans="1:52" s="90" customFormat="1" ht="15" customHeight="1" x14ac:dyDescent="0.3">
      <c r="A321" s="114">
        <v>310</v>
      </c>
      <c r="B321" s="174" t="s">
        <v>1002</v>
      </c>
      <c r="C321" s="120" t="s">
        <v>804</v>
      </c>
      <c r="D321" s="88"/>
      <c r="E321" s="88"/>
      <c r="F321" s="120" t="s">
        <v>958</v>
      </c>
      <c r="G321" s="25" t="s">
        <v>145</v>
      </c>
      <c r="H321" s="85" t="s">
        <v>146</v>
      </c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116">
        <v>6191</v>
      </c>
      <c r="V321" s="120">
        <v>7929.64</v>
      </c>
      <c r="W321" s="120">
        <v>734.51</v>
      </c>
      <c r="X321" s="120" t="s">
        <v>207</v>
      </c>
      <c r="Y321" s="120">
        <v>727.97</v>
      </c>
      <c r="Z321" s="120" t="s">
        <v>207</v>
      </c>
      <c r="AA321" s="120">
        <v>626.38</v>
      </c>
      <c r="AB321" s="120" t="s">
        <v>207</v>
      </c>
      <c r="AC321" s="120">
        <v>630.66999999999996</v>
      </c>
      <c r="AD321" s="120" t="s">
        <v>207</v>
      </c>
      <c r="AE321" s="120">
        <v>503.03</v>
      </c>
      <c r="AF321" s="120" t="s">
        <v>207</v>
      </c>
      <c r="AG321" s="120">
        <v>271.11</v>
      </c>
      <c r="AH321" s="120" t="s">
        <v>207</v>
      </c>
      <c r="AI321" s="120">
        <v>122.53</v>
      </c>
      <c r="AJ321" s="118" t="s">
        <v>207</v>
      </c>
      <c r="AK321" s="120">
        <v>224.35</v>
      </c>
      <c r="AL321" s="118" t="s">
        <v>207</v>
      </c>
      <c r="AM321" s="120">
        <v>217.99</v>
      </c>
      <c r="AN321" s="118" t="s">
        <v>207</v>
      </c>
      <c r="AO321" s="120">
        <v>460.32</v>
      </c>
      <c r="AP321" s="120" t="s">
        <v>207</v>
      </c>
      <c r="AQ321" s="120">
        <v>590.79999999999995</v>
      </c>
      <c r="AR321" s="120" t="s">
        <v>207</v>
      </c>
      <c r="AS321" s="120">
        <v>686.3</v>
      </c>
      <c r="AT321" s="120" t="s">
        <v>207</v>
      </c>
      <c r="AU321" s="118">
        <v>5795.9600000000009</v>
      </c>
      <c r="AV321" s="88"/>
      <c r="AW321" s="88"/>
      <c r="AX321" s="88"/>
      <c r="AY321" s="88"/>
      <c r="AZ321" s="88"/>
    </row>
    <row r="322" spans="1:52" s="90" customFormat="1" ht="15" customHeight="1" x14ac:dyDescent="0.3">
      <c r="A322" s="114">
        <v>311</v>
      </c>
      <c r="B322" s="174" t="s">
        <v>1003</v>
      </c>
      <c r="C322" s="120" t="s">
        <v>804</v>
      </c>
      <c r="D322" s="88"/>
      <c r="E322" s="88"/>
      <c r="F322" s="120" t="s">
        <v>958</v>
      </c>
      <c r="G322" s="25" t="s">
        <v>145</v>
      </c>
      <c r="H322" s="85" t="s">
        <v>146</v>
      </c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116">
        <v>1176.72</v>
      </c>
      <c r="V322" s="120">
        <v>1381.99</v>
      </c>
      <c r="W322" s="120">
        <v>184.1</v>
      </c>
      <c r="X322" s="120" t="s">
        <v>207</v>
      </c>
      <c r="Y322" s="120">
        <v>142.22999999999999</v>
      </c>
      <c r="Z322" s="120" t="s">
        <v>207</v>
      </c>
      <c r="AA322" s="120">
        <v>168.12</v>
      </c>
      <c r="AB322" s="120" t="s">
        <v>207</v>
      </c>
      <c r="AC322" s="120">
        <v>121.55</v>
      </c>
      <c r="AD322" s="120" t="s">
        <v>207</v>
      </c>
      <c r="AE322" s="120">
        <v>53.22</v>
      </c>
      <c r="AF322" s="120" t="s">
        <v>207</v>
      </c>
      <c r="AG322" s="120">
        <v>20.13</v>
      </c>
      <c r="AH322" s="120" t="s">
        <v>207</v>
      </c>
      <c r="AI322" s="120">
        <v>19.38</v>
      </c>
      <c r="AJ322" s="118" t="s">
        <v>207</v>
      </c>
      <c r="AK322" s="120">
        <v>16.02</v>
      </c>
      <c r="AL322" s="118" t="s">
        <v>207</v>
      </c>
      <c r="AM322" s="120">
        <v>22.16</v>
      </c>
      <c r="AN322" s="118" t="s">
        <v>207</v>
      </c>
      <c r="AO322" s="120">
        <v>109.89</v>
      </c>
      <c r="AP322" s="120" t="s">
        <v>207</v>
      </c>
      <c r="AQ322" s="120">
        <v>120.4</v>
      </c>
      <c r="AR322" s="120" t="s">
        <v>207</v>
      </c>
      <c r="AS322" s="120">
        <v>137.30000000000001</v>
      </c>
      <c r="AT322" s="120" t="s">
        <v>207</v>
      </c>
      <c r="AU322" s="118">
        <v>1114.5</v>
      </c>
      <c r="AV322" s="88"/>
      <c r="AW322" s="88"/>
      <c r="AX322" s="88"/>
      <c r="AY322" s="88"/>
      <c r="AZ322" s="88"/>
    </row>
    <row r="323" spans="1:52" s="90" customFormat="1" ht="15" customHeight="1" x14ac:dyDescent="0.3">
      <c r="A323" s="114">
        <v>312</v>
      </c>
      <c r="B323" s="174" t="s">
        <v>1004</v>
      </c>
      <c r="C323" s="120" t="s">
        <v>804</v>
      </c>
      <c r="D323" s="88"/>
      <c r="E323" s="88"/>
      <c r="F323" s="120" t="s">
        <v>958</v>
      </c>
      <c r="G323" s="25" t="s">
        <v>145</v>
      </c>
      <c r="H323" s="85" t="s">
        <v>146</v>
      </c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116">
        <v>2212.31</v>
      </c>
      <c r="V323" s="120">
        <v>2748.16</v>
      </c>
      <c r="W323" s="120">
        <v>265.12</v>
      </c>
      <c r="X323" s="120" t="s">
        <v>207</v>
      </c>
      <c r="Y323" s="120">
        <v>231.02</v>
      </c>
      <c r="Z323" s="120" t="s">
        <v>207</v>
      </c>
      <c r="AA323" s="120">
        <v>243.1</v>
      </c>
      <c r="AB323" s="120" t="s">
        <v>207</v>
      </c>
      <c r="AC323" s="120">
        <v>205.45</v>
      </c>
      <c r="AD323" s="120" t="s">
        <v>207</v>
      </c>
      <c r="AE323" s="120">
        <v>105.12</v>
      </c>
      <c r="AF323" s="120" t="s">
        <v>207</v>
      </c>
      <c r="AG323" s="120">
        <v>72.150000000000006</v>
      </c>
      <c r="AH323" s="120" t="s">
        <v>207</v>
      </c>
      <c r="AI323" s="120">
        <v>60.45</v>
      </c>
      <c r="AJ323" s="118" t="s">
        <v>207</v>
      </c>
      <c r="AK323" s="120">
        <v>58.12</v>
      </c>
      <c r="AL323" s="118" t="s">
        <v>207</v>
      </c>
      <c r="AM323" s="120">
        <v>60.4</v>
      </c>
      <c r="AN323" s="118" t="s">
        <v>207</v>
      </c>
      <c r="AO323" s="120">
        <v>230.45</v>
      </c>
      <c r="AP323" s="120" t="s">
        <v>207</v>
      </c>
      <c r="AQ323" s="120">
        <v>247.18</v>
      </c>
      <c r="AR323" s="120" t="s">
        <v>207</v>
      </c>
      <c r="AS323" s="120">
        <v>297.2</v>
      </c>
      <c r="AT323" s="120" t="s">
        <v>207</v>
      </c>
      <c r="AU323" s="118">
        <v>2075.7600000000002</v>
      </c>
      <c r="AV323" s="88"/>
      <c r="AW323" s="88"/>
      <c r="AX323" s="88"/>
      <c r="AY323" s="88"/>
      <c r="AZ323" s="88"/>
    </row>
    <row r="324" spans="1:52" s="90" customFormat="1" ht="15" customHeight="1" x14ac:dyDescent="0.3">
      <c r="A324" s="114">
        <v>313</v>
      </c>
      <c r="B324" s="174" t="s">
        <v>1005</v>
      </c>
      <c r="C324" s="120" t="s">
        <v>804</v>
      </c>
      <c r="D324" s="88"/>
      <c r="E324" s="88"/>
      <c r="F324" s="120" t="s">
        <v>958</v>
      </c>
      <c r="G324" s="25" t="s">
        <v>145</v>
      </c>
      <c r="H324" s="85" t="s">
        <v>146</v>
      </c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116">
        <v>812.77</v>
      </c>
      <c r="V324" s="120">
        <v>966.93</v>
      </c>
      <c r="W324" s="120">
        <v>138.38999999999999</v>
      </c>
      <c r="X324" s="120" t="s">
        <v>207</v>
      </c>
      <c r="Y324" s="120">
        <v>100.23</v>
      </c>
      <c r="Z324" s="120" t="s">
        <v>207</v>
      </c>
      <c r="AA324" s="120">
        <v>140.12</v>
      </c>
      <c r="AB324" s="120" t="s">
        <v>207</v>
      </c>
      <c r="AC324" s="120">
        <v>71.540000000000006</v>
      </c>
      <c r="AD324" s="120" t="s">
        <v>207</v>
      </c>
      <c r="AE324" s="120">
        <v>27.89</v>
      </c>
      <c r="AF324" s="120" t="s">
        <v>207</v>
      </c>
      <c r="AG324" s="120">
        <v>19.329999999999998</v>
      </c>
      <c r="AH324" s="120" t="s">
        <v>207</v>
      </c>
      <c r="AI324" s="120">
        <v>17.7</v>
      </c>
      <c r="AJ324" s="118" t="s">
        <v>207</v>
      </c>
      <c r="AK324" s="120">
        <v>17.89</v>
      </c>
      <c r="AL324" s="118" t="s">
        <v>207</v>
      </c>
      <c r="AM324" s="120">
        <v>10.68</v>
      </c>
      <c r="AN324" s="118" t="s">
        <v>207</v>
      </c>
      <c r="AO324" s="120">
        <v>64.25</v>
      </c>
      <c r="AP324" s="120" t="s">
        <v>207</v>
      </c>
      <c r="AQ324" s="120">
        <v>75.98</v>
      </c>
      <c r="AR324" s="120" t="s">
        <v>207</v>
      </c>
      <c r="AS324" s="120">
        <v>86.91</v>
      </c>
      <c r="AT324" s="120" t="s">
        <v>207</v>
      </c>
      <c r="AU324" s="118">
        <v>770.91</v>
      </c>
      <c r="AV324" s="88"/>
      <c r="AW324" s="88"/>
      <c r="AX324" s="88"/>
      <c r="AY324" s="88"/>
      <c r="AZ324" s="88"/>
    </row>
    <row r="325" spans="1:52" s="90" customFormat="1" ht="15" customHeight="1" x14ac:dyDescent="0.3">
      <c r="A325" s="114">
        <v>314</v>
      </c>
      <c r="B325" s="174" t="s">
        <v>1006</v>
      </c>
      <c r="C325" s="120" t="s">
        <v>804</v>
      </c>
      <c r="D325" s="88"/>
      <c r="E325" s="88"/>
      <c r="F325" s="120" t="s">
        <v>958</v>
      </c>
      <c r="G325" s="25" t="s">
        <v>145</v>
      </c>
      <c r="H325" s="85" t="s">
        <v>146</v>
      </c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116">
        <v>786.76</v>
      </c>
      <c r="V325" s="120">
        <v>952.35</v>
      </c>
      <c r="W325" s="120">
        <v>140.12</v>
      </c>
      <c r="X325" s="120" t="s">
        <v>207</v>
      </c>
      <c r="Y325" s="120">
        <v>102.45</v>
      </c>
      <c r="Z325" s="120" t="s">
        <v>207</v>
      </c>
      <c r="AA325" s="120">
        <v>146.30000000000001</v>
      </c>
      <c r="AB325" s="120" t="s">
        <v>207</v>
      </c>
      <c r="AC325" s="120">
        <v>75.12</v>
      </c>
      <c r="AD325" s="120" t="s">
        <v>207</v>
      </c>
      <c r="AE325" s="120">
        <v>30.14</v>
      </c>
      <c r="AF325" s="120" t="s">
        <v>207</v>
      </c>
      <c r="AG325" s="120">
        <v>19.23</v>
      </c>
      <c r="AH325" s="120" t="s">
        <v>207</v>
      </c>
      <c r="AI325" s="120">
        <v>18.41</v>
      </c>
      <c r="AJ325" s="118" t="s">
        <v>207</v>
      </c>
      <c r="AK325" s="120">
        <v>19.02</v>
      </c>
      <c r="AL325" s="118" t="s">
        <v>207</v>
      </c>
      <c r="AM325" s="120">
        <v>12.44</v>
      </c>
      <c r="AN325" s="118" t="s">
        <v>207</v>
      </c>
      <c r="AO325" s="120">
        <v>66.12</v>
      </c>
      <c r="AP325" s="120" t="s">
        <v>207</v>
      </c>
      <c r="AQ325" s="120">
        <v>76.900000000000006</v>
      </c>
      <c r="AR325" s="120" t="s">
        <v>207</v>
      </c>
      <c r="AS325" s="120">
        <v>88.12</v>
      </c>
      <c r="AT325" s="120" t="s">
        <v>207</v>
      </c>
      <c r="AU325" s="118">
        <v>794.37</v>
      </c>
      <c r="AV325" s="88"/>
      <c r="AW325" s="88"/>
      <c r="AX325" s="88"/>
      <c r="AY325" s="88"/>
      <c r="AZ325" s="88"/>
    </row>
    <row r="326" spans="1:52" s="90" customFormat="1" ht="15" customHeight="1" x14ac:dyDescent="0.3">
      <c r="A326" s="114">
        <v>315</v>
      </c>
      <c r="B326" s="174" t="s">
        <v>1007</v>
      </c>
      <c r="C326" s="120" t="s">
        <v>804</v>
      </c>
      <c r="D326" s="88"/>
      <c r="E326" s="88"/>
      <c r="F326" s="120" t="s">
        <v>958</v>
      </c>
      <c r="G326" s="25" t="s">
        <v>145</v>
      </c>
      <c r="H326" s="85" t="s">
        <v>146</v>
      </c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116">
        <v>858.42</v>
      </c>
      <c r="V326" s="120">
        <v>1097.01</v>
      </c>
      <c r="W326" s="120">
        <v>129.30000000000001</v>
      </c>
      <c r="X326" s="120" t="s">
        <v>207</v>
      </c>
      <c r="Y326" s="120">
        <v>104.29</v>
      </c>
      <c r="Z326" s="120" t="s">
        <v>207</v>
      </c>
      <c r="AA326" s="120">
        <v>129.36000000000001</v>
      </c>
      <c r="AB326" s="120" t="s">
        <v>207</v>
      </c>
      <c r="AC326" s="120">
        <v>87.6</v>
      </c>
      <c r="AD326" s="120" t="s">
        <v>207</v>
      </c>
      <c r="AE326" s="120">
        <v>38.9</v>
      </c>
      <c r="AF326" s="120" t="s">
        <v>207</v>
      </c>
      <c r="AG326" s="120">
        <v>19.36</v>
      </c>
      <c r="AH326" s="120" t="s">
        <v>207</v>
      </c>
      <c r="AI326" s="120">
        <v>18.579999999999998</v>
      </c>
      <c r="AJ326" s="118" t="s">
        <v>207</v>
      </c>
      <c r="AK326" s="120">
        <v>17.27</v>
      </c>
      <c r="AL326" s="118" t="s">
        <v>207</v>
      </c>
      <c r="AM326" s="120">
        <v>42.8</v>
      </c>
      <c r="AN326" s="118" t="s">
        <v>207</v>
      </c>
      <c r="AO326" s="120">
        <v>63.46</v>
      </c>
      <c r="AP326" s="120" t="s">
        <v>207</v>
      </c>
      <c r="AQ326" s="120">
        <v>74.989999999999995</v>
      </c>
      <c r="AR326" s="120" t="s">
        <v>207</v>
      </c>
      <c r="AS326" s="120">
        <v>90.63</v>
      </c>
      <c r="AT326" s="120" t="s">
        <v>207</v>
      </c>
      <c r="AU326" s="118">
        <v>816.54000000000008</v>
      </c>
      <c r="AV326" s="88"/>
      <c r="AW326" s="88"/>
      <c r="AX326" s="88"/>
      <c r="AY326" s="88"/>
      <c r="AZ326" s="88"/>
    </row>
    <row r="327" spans="1:52" s="90" customFormat="1" ht="15" customHeight="1" x14ac:dyDescent="0.3">
      <c r="A327" s="114">
        <v>316</v>
      </c>
      <c r="B327" s="174" t="s">
        <v>1008</v>
      </c>
      <c r="C327" s="120" t="s">
        <v>804</v>
      </c>
      <c r="D327" s="88"/>
      <c r="E327" s="88"/>
      <c r="F327" s="120" t="s">
        <v>958</v>
      </c>
      <c r="G327" s="25" t="s">
        <v>145</v>
      </c>
      <c r="H327" s="85" t="s">
        <v>146</v>
      </c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116">
        <v>1987.84</v>
      </c>
      <c r="V327" s="120">
        <v>2107.91</v>
      </c>
      <c r="W327" s="120">
        <v>245.16</v>
      </c>
      <c r="X327" s="120" t="s">
        <v>207</v>
      </c>
      <c r="Y327" s="120">
        <v>204.3</v>
      </c>
      <c r="Z327" s="120" t="s">
        <v>207</v>
      </c>
      <c r="AA327" s="120">
        <v>164.05</v>
      </c>
      <c r="AB327" s="120" t="s">
        <v>207</v>
      </c>
      <c r="AC327" s="120">
        <v>63.31</v>
      </c>
      <c r="AD327" s="120" t="s">
        <v>207</v>
      </c>
      <c r="AE327" s="120">
        <v>42.45</v>
      </c>
      <c r="AF327" s="120" t="s">
        <v>207</v>
      </c>
      <c r="AG327" s="120">
        <v>40.75</v>
      </c>
      <c r="AH327" s="120" t="s">
        <v>207</v>
      </c>
      <c r="AI327" s="120">
        <v>39.35</v>
      </c>
      <c r="AJ327" s="118" t="s">
        <v>207</v>
      </c>
      <c r="AK327" s="120">
        <v>110.18</v>
      </c>
      <c r="AL327" s="118" t="s">
        <v>207</v>
      </c>
      <c r="AM327" s="120">
        <v>319.52</v>
      </c>
      <c r="AN327" s="118" t="s">
        <v>207</v>
      </c>
      <c r="AO327" s="120">
        <v>287.57</v>
      </c>
      <c r="AP327" s="120" t="s">
        <v>207</v>
      </c>
      <c r="AQ327" s="120">
        <v>258.81</v>
      </c>
      <c r="AR327" s="120" t="s">
        <v>207</v>
      </c>
      <c r="AS327" s="120">
        <v>362.34</v>
      </c>
      <c r="AT327" s="120" t="s">
        <v>207</v>
      </c>
      <c r="AU327" s="118">
        <f t="shared" ref="AU327:AU379" si="26">SUM(W327,Y327,AA327,AC327,AE327,AG327,AI327,AW327,AK327,AM327,AO327,AQ327,AS327)</f>
        <v>2137.79</v>
      </c>
      <c r="AV327" s="88"/>
      <c r="AW327" s="88"/>
      <c r="AX327" s="88"/>
      <c r="AY327" s="88"/>
      <c r="AZ327" s="88"/>
    </row>
    <row r="328" spans="1:52" s="90" customFormat="1" ht="15" customHeight="1" x14ac:dyDescent="0.3">
      <c r="A328" s="114">
        <v>317</v>
      </c>
      <c r="B328" s="174" t="s">
        <v>1009</v>
      </c>
      <c r="C328" s="120" t="s">
        <v>804</v>
      </c>
      <c r="D328" s="88"/>
      <c r="E328" s="88"/>
      <c r="F328" s="120" t="s">
        <v>958</v>
      </c>
      <c r="G328" s="25" t="s">
        <v>145</v>
      </c>
      <c r="H328" s="85" t="s">
        <v>146</v>
      </c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116"/>
      <c r="V328" s="120"/>
      <c r="W328" s="120"/>
      <c r="X328" s="120" t="s">
        <v>207</v>
      </c>
      <c r="Y328" s="120"/>
      <c r="Z328" s="120" t="s">
        <v>207</v>
      </c>
      <c r="AA328" s="120"/>
      <c r="AB328" s="120" t="s">
        <v>207</v>
      </c>
      <c r="AC328" s="120"/>
      <c r="AD328" s="120" t="s">
        <v>207</v>
      </c>
      <c r="AE328" s="120"/>
      <c r="AF328" s="120" t="s">
        <v>207</v>
      </c>
      <c r="AG328" s="120"/>
      <c r="AH328" s="120" t="s">
        <v>207</v>
      </c>
      <c r="AI328" s="120"/>
      <c r="AJ328" s="118" t="s">
        <v>207</v>
      </c>
      <c r="AK328" s="120"/>
      <c r="AL328" s="118" t="s">
        <v>207</v>
      </c>
      <c r="AM328" s="120"/>
      <c r="AN328" s="118" t="s">
        <v>207</v>
      </c>
      <c r="AO328" s="120"/>
      <c r="AP328" s="120" t="s">
        <v>207</v>
      </c>
      <c r="AQ328" s="120"/>
      <c r="AR328" s="120" t="s">
        <v>207</v>
      </c>
      <c r="AS328" s="120"/>
      <c r="AT328" s="120" t="s">
        <v>207</v>
      </c>
      <c r="AU328" s="118">
        <f t="shared" si="26"/>
        <v>0</v>
      </c>
      <c r="AV328" s="88"/>
      <c r="AW328" s="88"/>
      <c r="AX328" s="88"/>
      <c r="AY328" s="88"/>
      <c r="AZ328" s="88"/>
    </row>
    <row r="329" spans="1:52" s="90" customFormat="1" ht="15" customHeight="1" x14ac:dyDescent="0.3">
      <c r="A329" s="114">
        <v>318</v>
      </c>
      <c r="B329" s="174" t="s">
        <v>1010</v>
      </c>
      <c r="C329" s="120" t="s">
        <v>804</v>
      </c>
      <c r="D329" s="88"/>
      <c r="E329" s="88"/>
      <c r="F329" s="120" t="s">
        <v>958</v>
      </c>
      <c r="G329" s="25" t="s">
        <v>145</v>
      </c>
      <c r="H329" s="85" t="s">
        <v>146</v>
      </c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116"/>
      <c r="V329" s="120"/>
      <c r="W329" s="120"/>
      <c r="X329" s="120" t="s">
        <v>207</v>
      </c>
      <c r="Y329" s="120"/>
      <c r="Z329" s="120" t="s">
        <v>207</v>
      </c>
      <c r="AA329" s="120"/>
      <c r="AB329" s="120" t="s">
        <v>207</v>
      </c>
      <c r="AC329" s="120"/>
      <c r="AD329" s="120" t="s">
        <v>207</v>
      </c>
      <c r="AE329" s="120"/>
      <c r="AF329" s="120" t="s">
        <v>207</v>
      </c>
      <c r="AG329" s="120"/>
      <c r="AH329" s="120" t="s">
        <v>207</v>
      </c>
      <c r="AI329" s="120"/>
      <c r="AJ329" s="118" t="s">
        <v>207</v>
      </c>
      <c r="AK329" s="120"/>
      <c r="AL329" s="118" t="s">
        <v>207</v>
      </c>
      <c r="AM329" s="120"/>
      <c r="AN329" s="118" t="s">
        <v>207</v>
      </c>
      <c r="AO329" s="120"/>
      <c r="AP329" s="120" t="s">
        <v>207</v>
      </c>
      <c r="AQ329" s="120"/>
      <c r="AR329" s="120" t="s">
        <v>207</v>
      </c>
      <c r="AS329" s="120"/>
      <c r="AT329" s="120" t="s">
        <v>207</v>
      </c>
      <c r="AU329" s="118">
        <f t="shared" si="26"/>
        <v>0</v>
      </c>
      <c r="AV329" s="88"/>
      <c r="AW329" s="88"/>
      <c r="AX329" s="88"/>
      <c r="AY329" s="88"/>
      <c r="AZ329" s="88"/>
    </row>
    <row r="330" spans="1:52" s="90" customFormat="1" ht="15" customHeight="1" x14ac:dyDescent="0.3">
      <c r="A330" s="114">
        <v>319</v>
      </c>
      <c r="B330" s="174" t="s">
        <v>1011</v>
      </c>
      <c r="C330" s="120" t="s">
        <v>804</v>
      </c>
      <c r="D330" s="88"/>
      <c r="E330" s="88"/>
      <c r="F330" s="120" t="s">
        <v>958</v>
      </c>
      <c r="G330" s="25" t="s">
        <v>145</v>
      </c>
      <c r="H330" s="85" t="s">
        <v>146</v>
      </c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116"/>
      <c r="V330" s="120"/>
      <c r="W330" s="120"/>
      <c r="X330" s="120" t="s">
        <v>207</v>
      </c>
      <c r="Y330" s="120"/>
      <c r="Z330" s="120" t="s">
        <v>207</v>
      </c>
      <c r="AA330" s="120"/>
      <c r="AB330" s="120" t="s">
        <v>207</v>
      </c>
      <c r="AC330" s="120"/>
      <c r="AD330" s="120" t="s">
        <v>207</v>
      </c>
      <c r="AE330" s="120"/>
      <c r="AF330" s="120" t="s">
        <v>207</v>
      </c>
      <c r="AG330" s="120"/>
      <c r="AH330" s="120" t="s">
        <v>207</v>
      </c>
      <c r="AI330" s="120"/>
      <c r="AJ330" s="118" t="s">
        <v>207</v>
      </c>
      <c r="AK330" s="120"/>
      <c r="AL330" s="118" t="s">
        <v>207</v>
      </c>
      <c r="AM330" s="120"/>
      <c r="AN330" s="118" t="s">
        <v>207</v>
      </c>
      <c r="AO330" s="120"/>
      <c r="AP330" s="120" t="s">
        <v>207</v>
      </c>
      <c r="AQ330" s="120"/>
      <c r="AR330" s="120" t="s">
        <v>207</v>
      </c>
      <c r="AS330" s="120"/>
      <c r="AT330" s="120" t="s">
        <v>207</v>
      </c>
      <c r="AU330" s="118">
        <f t="shared" si="26"/>
        <v>0</v>
      </c>
      <c r="AV330" s="88"/>
      <c r="AW330" s="88"/>
      <c r="AX330" s="88"/>
      <c r="AY330" s="88"/>
      <c r="AZ330" s="88"/>
    </row>
    <row r="331" spans="1:52" s="90" customFormat="1" ht="15" customHeight="1" x14ac:dyDescent="0.3">
      <c r="A331" s="114">
        <v>320</v>
      </c>
      <c r="B331" s="174" t="s">
        <v>1012</v>
      </c>
      <c r="C331" s="120" t="s">
        <v>804</v>
      </c>
      <c r="D331" s="88"/>
      <c r="E331" s="88"/>
      <c r="F331" s="120" t="s">
        <v>958</v>
      </c>
      <c r="G331" s="25" t="s">
        <v>145</v>
      </c>
      <c r="H331" s="85" t="s">
        <v>146</v>
      </c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116"/>
      <c r="V331" s="120"/>
      <c r="W331" s="120"/>
      <c r="X331" s="120" t="s">
        <v>207</v>
      </c>
      <c r="Y331" s="120"/>
      <c r="Z331" s="120" t="s">
        <v>207</v>
      </c>
      <c r="AA331" s="120"/>
      <c r="AB331" s="120" t="s">
        <v>207</v>
      </c>
      <c r="AC331" s="120"/>
      <c r="AD331" s="120" t="s">
        <v>207</v>
      </c>
      <c r="AE331" s="120"/>
      <c r="AF331" s="120" t="s">
        <v>207</v>
      </c>
      <c r="AG331" s="120"/>
      <c r="AH331" s="120" t="s">
        <v>207</v>
      </c>
      <c r="AI331" s="120"/>
      <c r="AJ331" s="118" t="s">
        <v>207</v>
      </c>
      <c r="AK331" s="120"/>
      <c r="AL331" s="118" t="s">
        <v>207</v>
      </c>
      <c r="AM331" s="120"/>
      <c r="AN331" s="118" t="s">
        <v>207</v>
      </c>
      <c r="AO331" s="120"/>
      <c r="AP331" s="120" t="s">
        <v>207</v>
      </c>
      <c r="AQ331" s="120"/>
      <c r="AR331" s="120" t="s">
        <v>207</v>
      </c>
      <c r="AS331" s="120"/>
      <c r="AT331" s="120" t="s">
        <v>207</v>
      </c>
      <c r="AU331" s="118">
        <f t="shared" si="26"/>
        <v>0</v>
      </c>
      <c r="AV331" s="88"/>
      <c r="AW331" s="88"/>
      <c r="AX331" s="88"/>
      <c r="AY331" s="88"/>
      <c r="AZ331" s="88"/>
    </row>
    <row r="332" spans="1:52" s="90" customFormat="1" ht="15" customHeight="1" x14ac:dyDescent="0.3">
      <c r="A332" s="114">
        <v>321</v>
      </c>
      <c r="B332" s="174" t="s">
        <v>1013</v>
      </c>
      <c r="C332" s="120" t="s">
        <v>804</v>
      </c>
      <c r="D332" s="88"/>
      <c r="E332" s="88"/>
      <c r="F332" s="120" t="s">
        <v>958</v>
      </c>
      <c r="G332" s="25" t="s">
        <v>145</v>
      </c>
      <c r="H332" s="85" t="s">
        <v>146</v>
      </c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116">
        <v>290.5</v>
      </c>
      <c r="V332" s="120">
        <f>36.8+376.2</f>
        <v>413</v>
      </c>
      <c r="W332" s="120">
        <v>57.61</v>
      </c>
      <c r="X332" s="120" t="s">
        <v>207</v>
      </c>
      <c r="Y332" s="120">
        <v>41.76</v>
      </c>
      <c r="Z332" s="120" t="s">
        <v>207</v>
      </c>
      <c r="AA332" s="120">
        <v>55.5</v>
      </c>
      <c r="AB332" s="120" t="s">
        <v>207</v>
      </c>
      <c r="AC332" s="120">
        <v>26.8</v>
      </c>
      <c r="AD332" s="120" t="s">
        <v>207</v>
      </c>
      <c r="AE332" s="120">
        <v>5.3</v>
      </c>
      <c r="AF332" s="120" t="s">
        <v>207</v>
      </c>
      <c r="AG332" s="120">
        <v>0</v>
      </c>
      <c r="AH332" s="120" t="s">
        <v>207</v>
      </c>
      <c r="AI332" s="120">
        <v>0</v>
      </c>
      <c r="AJ332" s="118" t="s">
        <v>207</v>
      </c>
      <c r="AK332" s="120">
        <v>0</v>
      </c>
      <c r="AL332" s="118" t="s">
        <v>207</v>
      </c>
      <c r="AM332" s="120">
        <v>0</v>
      </c>
      <c r="AN332" s="118" t="s">
        <v>207</v>
      </c>
      <c r="AO332" s="120">
        <v>36.700000000000003</v>
      </c>
      <c r="AP332" s="120" t="s">
        <v>207</v>
      </c>
      <c r="AQ332" s="120">
        <v>28.6</v>
      </c>
      <c r="AR332" s="120" t="s">
        <v>207</v>
      </c>
      <c r="AS332" s="120">
        <v>41.3</v>
      </c>
      <c r="AT332" s="120" t="s">
        <v>207</v>
      </c>
      <c r="AU332" s="118">
        <f t="shared" si="26"/>
        <v>293.57</v>
      </c>
      <c r="AV332" s="88"/>
      <c r="AW332" s="88"/>
      <c r="AX332" s="88"/>
      <c r="AY332" s="88"/>
      <c r="AZ332" s="88"/>
    </row>
    <row r="333" spans="1:52" s="90" customFormat="1" ht="15" customHeight="1" x14ac:dyDescent="0.3">
      <c r="A333" s="114">
        <v>322</v>
      </c>
      <c r="B333" s="174" t="s">
        <v>1014</v>
      </c>
      <c r="C333" s="120" t="s">
        <v>804</v>
      </c>
      <c r="D333" s="88"/>
      <c r="E333" s="88"/>
      <c r="F333" s="120" t="s">
        <v>958</v>
      </c>
      <c r="G333" s="25" t="s">
        <v>145</v>
      </c>
      <c r="H333" s="85" t="s">
        <v>146</v>
      </c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116"/>
      <c r="V333" s="120"/>
      <c r="W333" s="120">
        <v>19.09</v>
      </c>
      <c r="X333" s="120" t="s">
        <v>207</v>
      </c>
      <c r="Y333" s="120">
        <v>13.66</v>
      </c>
      <c r="Z333" s="120" t="s">
        <v>207</v>
      </c>
      <c r="AA333" s="120">
        <v>24.4</v>
      </c>
      <c r="AB333" s="120" t="s">
        <v>207</v>
      </c>
      <c r="AC333" s="120">
        <v>11.9</v>
      </c>
      <c r="AD333" s="120" t="s">
        <v>207</v>
      </c>
      <c r="AE333" s="120">
        <v>2.2999999999999998</v>
      </c>
      <c r="AF333" s="120" t="s">
        <v>207</v>
      </c>
      <c r="AG333" s="120">
        <v>0</v>
      </c>
      <c r="AH333" s="120" t="s">
        <v>207</v>
      </c>
      <c r="AI333" s="120">
        <v>0</v>
      </c>
      <c r="AJ333" s="118" t="s">
        <v>207</v>
      </c>
      <c r="AK333" s="120">
        <v>0</v>
      </c>
      <c r="AL333" s="118" t="s">
        <v>207</v>
      </c>
      <c r="AM333" s="120">
        <v>0</v>
      </c>
      <c r="AN333" s="118" t="s">
        <v>207</v>
      </c>
      <c r="AO333" s="120">
        <v>16.2</v>
      </c>
      <c r="AP333" s="120" t="s">
        <v>207</v>
      </c>
      <c r="AQ333" s="120">
        <v>12.6</v>
      </c>
      <c r="AR333" s="120" t="s">
        <v>207</v>
      </c>
      <c r="AS333" s="120">
        <v>18.100000000000001</v>
      </c>
      <c r="AT333" s="120" t="s">
        <v>207</v>
      </c>
      <c r="AU333" s="118">
        <f t="shared" si="26"/>
        <v>118.25</v>
      </c>
      <c r="AV333" s="88"/>
      <c r="AW333" s="88"/>
      <c r="AX333" s="88"/>
      <c r="AY333" s="88"/>
      <c r="AZ333" s="88"/>
    </row>
    <row r="334" spans="1:52" s="90" customFormat="1" ht="15" customHeight="1" x14ac:dyDescent="0.3">
      <c r="A334" s="114">
        <v>323</v>
      </c>
      <c r="B334" s="174" t="s">
        <v>1015</v>
      </c>
      <c r="C334" s="120" t="s">
        <v>804</v>
      </c>
      <c r="D334" s="88"/>
      <c r="E334" s="88"/>
      <c r="F334" s="120" t="s">
        <v>958</v>
      </c>
      <c r="G334" s="25" t="s">
        <v>145</v>
      </c>
      <c r="H334" s="85" t="s">
        <v>146</v>
      </c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116"/>
      <c r="V334" s="120"/>
      <c r="W334" s="120"/>
      <c r="X334" s="120" t="s">
        <v>207</v>
      </c>
      <c r="Y334" s="120">
        <v>20.68</v>
      </c>
      <c r="Z334" s="120" t="s">
        <v>207</v>
      </c>
      <c r="AA334" s="120">
        <v>14.8</v>
      </c>
      <c r="AB334" s="120" t="s">
        <v>207</v>
      </c>
      <c r="AC334" s="120">
        <v>24.4</v>
      </c>
      <c r="AD334" s="120" t="s">
        <v>207</v>
      </c>
      <c r="AE334" s="120">
        <v>11.9</v>
      </c>
      <c r="AF334" s="120" t="s">
        <v>207</v>
      </c>
      <c r="AG334" s="120">
        <v>2.2999999999999998</v>
      </c>
      <c r="AH334" s="120" t="s">
        <v>207</v>
      </c>
      <c r="AI334" s="120">
        <v>0</v>
      </c>
      <c r="AJ334" s="118" t="s">
        <v>207</v>
      </c>
      <c r="AK334" s="120">
        <v>0</v>
      </c>
      <c r="AL334" s="118" t="s">
        <v>207</v>
      </c>
      <c r="AM334" s="120">
        <v>0</v>
      </c>
      <c r="AN334" s="118" t="s">
        <v>207</v>
      </c>
      <c r="AO334" s="120">
        <v>0</v>
      </c>
      <c r="AP334" s="120" t="s">
        <v>207</v>
      </c>
      <c r="AQ334" s="120">
        <v>16.2</v>
      </c>
      <c r="AR334" s="120" t="s">
        <v>207</v>
      </c>
      <c r="AS334" s="120">
        <v>12.6</v>
      </c>
      <c r="AT334" s="120" t="s">
        <v>207</v>
      </c>
      <c r="AU334" s="118">
        <f t="shared" si="26"/>
        <v>102.88</v>
      </c>
      <c r="AV334" s="88"/>
      <c r="AW334" s="88"/>
      <c r="AX334" s="88"/>
      <c r="AY334" s="88"/>
      <c r="AZ334" s="88"/>
    </row>
    <row r="335" spans="1:52" s="90" customFormat="1" ht="15" customHeight="1" x14ac:dyDescent="0.3">
      <c r="A335" s="114">
        <v>324</v>
      </c>
      <c r="B335" s="174" t="s">
        <v>1016</v>
      </c>
      <c r="C335" s="120" t="s">
        <v>804</v>
      </c>
      <c r="D335" s="88"/>
      <c r="E335" s="88"/>
      <c r="F335" s="120" t="s">
        <v>958</v>
      </c>
      <c r="G335" s="25" t="s">
        <v>145</v>
      </c>
      <c r="H335" s="85" t="s">
        <v>146</v>
      </c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116">
        <v>408.91</v>
      </c>
      <c r="V335" s="120">
        <v>486.4</v>
      </c>
      <c r="W335" s="120">
        <v>36.270000000000003</v>
      </c>
      <c r="X335" s="120" t="s">
        <v>207</v>
      </c>
      <c r="Y335" s="120">
        <v>36.270000000000003</v>
      </c>
      <c r="Z335" s="120" t="s">
        <v>207</v>
      </c>
      <c r="AA335" s="120">
        <v>36.270000000000003</v>
      </c>
      <c r="AB335" s="120" t="s">
        <v>207</v>
      </c>
      <c r="AC335" s="120">
        <v>35.47</v>
      </c>
      <c r="AD335" s="120" t="s">
        <v>207</v>
      </c>
      <c r="AE335" s="120">
        <v>36.270000000000003</v>
      </c>
      <c r="AF335" s="120" t="s">
        <v>207</v>
      </c>
      <c r="AG335" s="120">
        <v>17.12</v>
      </c>
      <c r="AH335" s="120" t="s">
        <v>207</v>
      </c>
      <c r="AI335" s="120">
        <v>17.350000000000001</v>
      </c>
      <c r="AJ335" s="118" t="s">
        <v>207</v>
      </c>
      <c r="AK335" s="120">
        <v>0.6</v>
      </c>
      <c r="AL335" s="118" t="s">
        <v>207</v>
      </c>
      <c r="AM335" s="120">
        <v>12.14</v>
      </c>
      <c r="AN335" s="118" t="s">
        <v>207</v>
      </c>
      <c r="AO335" s="120">
        <v>34.46</v>
      </c>
      <c r="AP335" s="120" t="s">
        <v>207</v>
      </c>
      <c r="AQ335" s="120">
        <v>31.38</v>
      </c>
      <c r="AR335" s="120" t="s">
        <v>207</v>
      </c>
      <c r="AS335" s="120">
        <v>31.6</v>
      </c>
      <c r="AT335" s="120" t="s">
        <v>207</v>
      </c>
      <c r="AU335" s="118">
        <f t="shared" si="26"/>
        <v>325.2</v>
      </c>
      <c r="AV335" s="88"/>
      <c r="AW335" s="88"/>
      <c r="AX335" s="88"/>
      <c r="AY335" s="88"/>
      <c r="AZ335" s="88"/>
    </row>
    <row r="336" spans="1:52" s="90" customFormat="1" ht="15" customHeight="1" x14ac:dyDescent="0.3">
      <c r="A336" s="114">
        <v>325</v>
      </c>
      <c r="B336" s="174" t="s">
        <v>1017</v>
      </c>
      <c r="C336" s="120" t="s">
        <v>804</v>
      </c>
      <c r="D336" s="88"/>
      <c r="E336" s="88"/>
      <c r="F336" s="120" t="s">
        <v>958</v>
      </c>
      <c r="G336" s="25" t="s">
        <v>145</v>
      </c>
      <c r="H336" s="85" t="s">
        <v>146</v>
      </c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116">
        <v>277.89999999999998</v>
      </c>
      <c r="V336" s="120">
        <f>32.1+359.4</f>
        <v>391.5</v>
      </c>
      <c r="W336" s="120">
        <v>31.87</v>
      </c>
      <c r="X336" s="120" t="s">
        <v>207</v>
      </c>
      <c r="Y336" s="120">
        <v>23.07</v>
      </c>
      <c r="Z336" s="120" t="s">
        <v>207</v>
      </c>
      <c r="AA336" s="120">
        <v>53.2</v>
      </c>
      <c r="AB336" s="120" t="s">
        <v>207</v>
      </c>
      <c r="AC336" s="120">
        <v>25.9</v>
      </c>
      <c r="AD336" s="120" t="s">
        <v>207</v>
      </c>
      <c r="AE336" s="120">
        <v>5.0999999999999996</v>
      </c>
      <c r="AF336" s="120" t="s">
        <v>207</v>
      </c>
      <c r="AG336" s="120">
        <v>0</v>
      </c>
      <c r="AH336" s="120" t="s">
        <v>207</v>
      </c>
      <c r="AI336" s="120">
        <v>0</v>
      </c>
      <c r="AJ336" s="118" t="s">
        <v>207</v>
      </c>
      <c r="AK336" s="120">
        <v>0</v>
      </c>
      <c r="AL336" s="118" t="s">
        <v>207</v>
      </c>
      <c r="AM336" s="120">
        <v>0</v>
      </c>
      <c r="AN336" s="118" t="s">
        <v>207</v>
      </c>
      <c r="AO336" s="120">
        <v>35.200000000000003</v>
      </c>
      <c r="AP336" s="120" t="s">
        <v>207</v>
      </c>
      <c r="AQ336" s="120">
        <v>27.4</v>
      </c>
      <c r="AR336" s="120" t="s">
        <v>207</v>
      </c>
      <c r="AS336" s="120">
        <v>39.5</v>
      </c>
      <c r="AT336" s="120" t="s">
        <v>207</v>
      </c>
      <c r="AU336" s="118">
        <f t="shared" si="26"/>
        <v>241.23999999999998</v>
      </c>
      <c r="AV336" s="88"/>
      <c r="AW336" s="88"/>
      <c r="AX336" s="88"/>
      <c r="AY336" s="88"/>
      <c r="AZ336" s="88"/>
    </row>
    <row r="337" spans="1:52" s="90" customFormat="1" ht="15" customHeight="1" x14ac:dyDescent="0.3">
      <c r="A337" s="114">
        <v>326</v>
      </c>
      <c r="B337" s="174" t="s">
        <v>1018</v>
      </c>
      <c r="C337" s="120" t="s">
        <v>804</v>
      </c>
      <c r="D337" s="88"/>
      <c r="E337" s="88"/>
      <c r="F337" s="120" t="s">
        <v>958</v>
      </c>
      <c r="G337" s="25" t="s">
        <v>145</v>
      </c>
      <c r="H337" s="85" t="s">
        <v>146</v>
      </c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116"/>
      <c r="V337" s="120"/>
      <c r="W337" s="120">
        <v>31.33</v>
      </c>
      <c r="X337" s="120" t="s">
        <v>207</v>
      </c>
      <c r="Y337" s="120">
        <v>30.32</v>
      </c>
      <c r="Z337" s="120" t="s">
        <v>207</v>
      </c>
      <c r="AA337" s="120">
        <v>12.79</v>
      </c>
      <c r="AB337" s="120" t="s">
        <v>207</v>
      </c>
      <c r="AC337" s="120">
        <v>28.11</v>
      </c>
      <c r="AD337" s="120" t="s">
        <v>207</v>
      </c>
      <c r="AE337" s="120">
        <v>9.73</v>
      </c>
      <c r="AF337" s="120" t="s">
        <v>207</v>
      </c>
      <c r="AG337" s="120">
        <v>5.26</v>
      </c>
      <c r="AH337" s="120" t="s">
        <v>207</v>
      </c>
      <c r="AI337" s="120">
        <v>4.9000000000000004</v>
      </c>
      <c r="AJ337" s="118" t="s">
        <v>207</v>
      </c>
      <c r="AK337" s="120">
        <v>3.96</v>
      </c>
      <c r="AL337" s="118" t="s">
        <v>207</v>
      </c>
      <c r="AM337" s="120">
        <v>5.88</v>
      </c>
      <c r="AN337" s="118" t="s">
        <v>207</v>
      </c>
      <c r="AO337" s="120">
        <v>32.44</v>
      </c>
      <c r="AP337" s="120" t="s">
        <v>207</v>
      </c>
      <c r="AQ337" s="120">
        <v>23.2</v>
      </c>
      <c r="AR337" s="120" t="s">
        <v>207</v>
      </c>
      <c r="AS337" s="120">
        <v>35.369999999999997</v>
      </c>
      <c r="AT337" s="120" t="s">
        <v>207</v>
      </c>
      <c r="AU337" s="118">
        <f t="shared" si="26"/>
        <v>223.29</v>
      </c>
      <c r="AV337" s="88"/>
      <c r="AW337" s="88"/>
      <c r="AX337" s="88"/>
      <c r="AY337" s="88"/>
      <c r="AZ337" s="88"/>
    </row>
    <row r="338" spans="1:52" s="90" customFormat="1" ht="15" customHeight="1" x14ac:dyDescent="0.3">
      <c r="A338" s="114">
        <v>327</v>
      </c>
      <c r="B338" s="174" t="s">
        <v>1019</v>
      </c>
      <c r="C338" s="120" t="s">
        <v>804</v>
      </c>
      <c r="D338" s="88"/>
      <c r="E338" s="88"/>
      <c r="F338" s="120" t="s">
        <v>958</v>
      </c>
      <c r="G338" s="25" t="s">
        <v>145</v>
      </c>
      <c r="H338" s="85" t="s">
        <v>146</v>
      </c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116"/>
      <c r="V338" s="120"/>
      <c r="W338" s="120">
        <v>20.46</v>
      </c>
      <c r="X338" s="120" t="s">
        <v>207</v>
      </c>
      <c r="Y338" s="120">
        <v>20.059999999999999</v>
      </c>
      <c r="Z338" s="120" t="s">
        <v>207</v>
      </c>
      <c r="AA338" s="120">
        <v>5.5</v>
      </c>
      <c r="AB338" s="120" t="s">
        <v>207</v>
      </c>
      <c r="AC338" s="120">
        <v>12.08</v>
      </c>
      <c r="AD338" s="120" t="s">
        <v>207</v>
      </c>
      <c r="AE338" s="120">
        <v>4.33</v>
      </c>
      <c r="AF338" s="120" t="s">
        <v>207</v>
      </c>
      <c r="AG338" s="120">
        <v>1.03</v>
      </c>
      <c r="AH338" s="120" t="s">
        <v>207</v>
      </c>
      <c r="AI338" s="120">
        <v>1.02</v>
      </c>
      <c r="AJ338" s="118" t="s">
        <v>207</v>
      </c>
      <c r="AK338" s="120">
        <v>0.77</v>
      </c>
      <c r="AL338" s="118" t="s">
        <v>207</v>
      </c>
      <c r="AM338" s="120">
        <v>1.1399999999999999</v>
      </c>
      <c r="AN338" s="118" t="s">
        <v>207</v>
      </c>
      <c r="AO338" s="120">
        <v>14.1</v>
      </c>
      <c r="AP338" s="120" t="s">
        <v>207</v>
      </c>
      <c r="AQ338" s="120">
        <v>10.16</v>
      </c>
      <c r="AR338" s="120" t="s">
        <v>207</v>
      </c>
      <c r="AS338" s="120">
        <v>15.25</v>
      </c>
      <c r="AT338" s="120" t="s">
        <v>207</v>
      </c>
      <c r="AU338" s="118">
        <f t="shared" si="26"/>
        <v>105.89999999999998</v>
      </c>
      <c r="AV338" s="88"/>
      <c r="AW338" s="88"/>
      <c r="AX338" s="88"/>
      <c r="AY338" s="88"/>
      <c r="AZ338" s="88"/>
    </row>
    <row r="339" spans="1:52" s="90" customFormat="1" ht="15" customHeight="1" x14ac:dyDescent="0.3">
      <c r="A339" s="114">
        <v>328</v>
      </c>
      <c r="B339" s="174" t="s">
        <v>1020</v>
      </c>
      <c r="C339" s="120" t="s">
        <v>804</v>
      </c>
      <c r="D339" s="88"/>
      <c r="E339" s="88"/>
      <c r="F339" s="120" t="s">
        <v>958</v>
      </c>
      <c r="G339" s="25" t="s">
        <v>145</v>
      </c>
      <c r="H339" s="85" t="s">
        <v>146</v>
      </c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116"/>
      <c r="V339" s="120"/>
      <c r="W339" s="120"/>
      <c r="X339" s="120" t="s">
        <v>207</v>
      </c>
      <c r="Y339" s="120"/>
      <c r="Z339" s="120" t="s">
        <v>207</v>
      </c>
      <c r="AA339" s="120"/>
      <c r="AB339" s="120" t="s">
        <v>207</v>
      </c>
      <c r="AC339" s="120"/>
      <c r="AD339" s="120" t="s">
        <v>207</v>
      </c>
      <c r="AE339" s="120"/>
      <c r="AF339" s="120" t="s">
        <v>207</v>
      </c>
      <c r="AG339" s="120"/>
      <c r="AH339" s="120" t="s">
        <v>207</v>
      </c>
      <c r="AI339" s="120"/>
      <c r="AJ339" s="118" t="s">
        <v>207</v>
      </c>
      <c r="AK339" s="120"/>
      <c r="AL339" s="118" t="s">
        <v>207</v>
      </c>
      <c r="AM339" s="120"/>
      <c r="AN339" s="118" t="s">
        <v>207</v>
      </c>
      <c r="AO339" s="120"/>
      <c r="AP339" s="120" t="s">
        <v>207</v>
      </c>
      <c r="AQ339" s="120"/>
      <c r="AR339" s="120" t="s">
        <v>207</v>
      </c>
      <c r="AS339" s="120"/>
      <c r="AT339" s="120" t="s">
        <v>207</v>
      </c>
      <c r="AU339" s="118">
        <f t="shared" si="26"/>
        <v>0</v>
      </c>
      <c r="AV339" s="88"/>
      <c r="AW339" s="88"/>
      <c r="AX339" s="88"/>
      <c r="AY339" s="88"/>
      <c r="AZ339" s="88"/>
    </row>
    <row r="340" spans="1:52" s="90" customFormat="1" ht="15" customHeight="1" x14ac:dyDescent="0.3">
      <c r="A340" s="114">
        <v>329</v>
      </c>
      <c r="B340" s="174" t="s">
        <v>1021</v>
      </c>
      <c r="C340" s="120" t="s">
        <v>804</v>
      </c>
      <c r="D340" s="88"/>
      <c r="E340" s="88"/>
      <c r="F340" s="120" t="s">
        <v>958</v>
      </c>
      <c r="G340" s="25" t="s">
        <v>145</v>
      </c>
      <c r="H340" s="85" t="s">
        <v>146</v>
      </c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116"/>
      <c r="V340" s="120"/>
      <c r="W340" s="120"/>
      <c r="X340" s="120" t="s">
        <v>207</v>
      </c>
      <c r="Y340" s="120"/>
      <c r="Z340" s="120" t="s">
        <v>207</v>
      </c>
      <c r="AA340" s="120"/>
      <c r="AB340" s="120" t="s">
        <v>207</v>
      </c>
      <c r="AC340" s="120"/>
      <c r="AD340" s="120" t="s">
        <v>207</v>
      </c>
      <c r="AE340" s="120"/>
      <c r="AF340" s="120" t="s">
        <v>207</v>
      </c>
      <c r="AG340" s="120"/>
      <c r="AH340" s="120" t="s">
        <v>207</v>
      </c>
      <c r="AI340" s="120"/>
      <c r="AJ340" s="118" t="s">
        <v>207</v>
      </c>
      <c r="AK340" s="120"/>
      <c r="AL340" s="118" t="s">
        <v>207</v>
      </c>
      <c r="AM340" s="120"/>
      <c r="AN340" s="118" t="s">
        <v>207</v>
      </c>
      <c r="AO340" s="120"/>
      <c r="AP340" s="120" t="s">
        <v>207</v>
      </c>
      <c r="AQ340" s="120"/>
      <c r="AR340" s="120" t="s">
        <v>207</v>
      </c>
      <c r="AS340" s="120"/>
      <c r="AT340" s="120" t="s">
        <v>207</v>
      </c>
      <c r="AU340" s="118">
        <f t="shared" si="26"/>
        <v>0</v>
      </c>
      <c r="AV340" s="88"/>
      <c r="AW340" s="88"/>
      <c r="AX340" s="88"/>
      <c r="AY340" s="88"/>
      <c r="AZ340" s="88"/>
    </row>
    <row r="341" spans="1:52" s="90" customFormat="1" ht="15" customHeight="1" x14ac:dyDescent="0.3">
      <c r="A341" s="114">
        <v>330</v>
      </c>
      <c r="B341" s="174" t="s">
        <v>1022</v>
      </c>
      <c r="C341" s="120" t="s">
        <v>804</v>
      </c>
      <c r="D341" s="88"/>
      <c r="E341" s="88"/>
      <c r="F341" s="120" t="s">
        <v>958</v>
      </c>
      <c r="G341" s="25" t="s">
        <v>145</v>
      </c>
      <c r="H341" s="85" t="s">
        <v>146</v>
      </c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116"/>
      <c r="V341" s="120"/>
      <c r="W341" s="120"/>
      <c r="X341" s="120" t="s">
        <v>207</v>
      </c>
      <c r="Y341" s="120"/>
      <c r="Z341" s="120" t="s">
        <v>207</v>
      </c>
      <c r="AA341" s="120"/>
      <c r="AB341" s="120" t="s">
        <v>207</v>
      </c>
      <c r="AC341" s="120"/>
      <c r="AD341" s="120" t="s">
        <v>207</v>
      </c>
      <c r="AE341" s="120"/>
      <c r="AF341" s="120" t="s">
        <v>207</v>
      </c>
      <c r="AG341" s="120"/>
      <c r="AH341" s="120" t="s">
        <v>207</v>
      </c>
      <c r="AI341" s="120"/>
      <c r="AJ341" s="118" t="s">
        <v>207</v>
      </c>
      <c r="AK341" s="120"/>
      <c r="AL341" s="118" t="s">
        <v>207</v>
      </c>
      <c r="AM341" s="120"/>
      <c r="AN341" s="118" t="s">
        <v>207</v>
      </c>
      <c r="AO341" s="120"/>
      <c r="AP341" s="120" t="s">
        <v>207</v>
      </c>
      <c r="AQ341" s="120"/>
      <c r="AR341" s="120" t="s">
        <v>207</v>
      </c>
      <c r="AS341" s="120"/>
      <c r="AT341" s="120" t="s">
        <v>207</v>
      </c>
      <c r="AU341" s="118">
        <f t="shared" si="26"/>
        <v>0</v>
      </c>
      <c r="AV341" s="88"/>
      <c r="AW341" s="88"/>
      <c r="AX341" s="88"/>
      <c r="AY341" s="88"/>
      <c r="AZ341" s="88"/>
    </row>
    <row r="342" spans="1:52" s="90" customFormat="1" ht="15" customHeight="1" x14ac:dyDescent="0.3">
      <c r="A342" s="114">
        <v>331</v>
      </c>
      <c r="B342" s="174" t="s">
        <v>1023</v>
      </c>
      <c r="C342" s="120" t="s">
        <v>804</v>
      </c>
      <c r="D342" s="88"/>
      <c r="E342" s="88"/>
      <c r="F342" s="120" t="s">
        <v>958</v>
      </c>
      <c r="G342" s="25" t="s">
        <v>145</v>
      </c>
      <c r="H342" s="85" t="s">
        <v>146</v>
      </c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116"/>
      <c r="V342" s="120"/>
      <c r="W342" s="120"/>
      <c r="X342" s="120" t="s">
        <v>207</v>
      </c>
      <c r="Y342" s="120"/>
      <c r="Z342" s="120" t="s">
        <v>207</v>
      </c>
      <c r="AA342" s="120"/>
      <c r="AB342" s="120" t="s">
        <v>207</v>
      </c>
      <c r="AC342" s="120"/>
      <c r="AD342" s="120" t="s">
        <v>207</v>
      </c>
      <c r="AE342" s="120"/>
      <c r="AF342" s="120" t="s">
        <v>207</v>
      </c>
      <c r="AG342" s="120"/>
      <c r="AH342" s="120" t="s">
        <v>207</v>
      </c>
      <c r="AI342" s="120"/>
      <c r="AJ342" s="118" t="s">
        <v>207</v>
      </c>
      <c r="AK342" s="120"/>
      <c r="AL342" s="118" t="s">
        <v>207</v>
      </c>
      <c r="AM342" s="120"/>
      <c r="AN342" s="118" t="s">
        <v>207</v>
      </c>
      <c r="AO342" s="120"/>
      <c r="AP342" s="120" t="s">
        <v>207</v>
      </c>
      <c r="AQ342" s="120"/>
      <c r="AR342" s="120" t="s">
        <v>207</v>
      </c>
      <c r="AS342" s="120"/>
      <c r="AT342" s="120" t="s">
        <v>207</v>
      </c>
      <c r="AU342" s="118">
        <f t="shared" si="26"/>
        <v>0</v>
      </c>
      <c r="AV342" s="88"/>
      <c r="AW342" s="88"/>
      <c r="AX342" s="88"/>
      <c r="AY342" s="88"/>
      <c r="AZ342" s="88"/>
    </row>
    <row r="343" spans="1:52" s="90" customFormat="1" ht="15" customHeight="1" x14ac:dyDescent="0.3">
      <c r="A343" s="114">
        <v>332</v>
      </c>
      <c r="B343" s="174" t="s">
        <v>1024</v>
      </c>
      <c r="C343" s="120" t="s">
        <v>804</v>
      </c>
      <c r="D343" s="88"/>
      <c r="E343" s="88"/>
      <c r="F343" s="120" t="s">
        <v>958</v>
      </c>
      <c r="G343" s="25" t="s">
        <v>145</v>
      </c>
      <c r="H343" s="85" t="s">
        <v>146</v>
      </c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116"/>
      <c r="V343" s="120"/>
      <c r="W343" s="120"/>
      <c r="X343" s="120" t="s">
        <v>207</v>
      </c>
      <c r="Y343" s="120"/>
      <c r="Z343" s="120" t="s">
        <v>207</v>
      </c>
      <c r="AA343" s="120"/>
      <c r="AB343" s="120" t="s">
        <v>207</v>
      </c>
      <c r="AC343" s="120"/>
      <c r="AD343" s="120" t="s">
        <v>207</v>
      </c>
      <c r="AE343" s="120"/>
      <c r="AF343" s="120" t="s">
        <v>207</v>
      </c>
      <c r="AG343" s="120"/>
      <c r="AH343" s="120" t="s">
        <v>207</v>
      </c>
      <c r="AI343" s="120"/>
      <c r="AJ343" s="118" t="s">
        <v>207</v>
      </c>
      <c r="AK343" s="120"/>
      <c r="AL343" s="118" t="s">
        <v>207</v>
      </c>
      <c r="AM343" s="120"/>
      <c r="AN343" s="118" t="s">
        <v>207</v>
      </c>
      <c r="AO343" s="120"/>
      <c r="AP343" s="120" t="s">
        <v>207</v>
      </c>
      <c r="AQ343" s="120"/>
      <c r="AR343" s="120" t="s">
        <v>207</v>
      </c>
      <c r="AS343" s="120"/>
      <c r="AT343" s="120" t="s">
        <v>207</v>
      </c>
      <c r="AU343" s="118">
        <f t="shared" si="26"/>
        <v>0</v>
      </c>
      <c r="AV343" s="88"/>
      <c r="AW343" s="88"/>
      <c r="AX343" s="88"/>
      <c r="AY343" s="88"/>
      <c r="AZ343" s="88"/>
    </row>
    <row r="344" spans="1:52" s="90" customFormat="1" ht="15" customHeight="1" x14ac:dyDescent="0.3">
      <c r="A344" s="114">
        <v>333</v>
      </c>
      <c r="B344" s="174" t="s">
        <v>1025</v>
      </c>
      <c r="C344" s="120" t="s">
        <v>804</v>
      </c>
      <c r="D344" s="88"/>
      <c r="E344" s="88"/>
      <c r="F344" s="120" t="s">
        <v>958</v>
      </c>
      <c r="G344" s="25" t="s">
        <v>145</v>
      </c>
      <c r="H344" s="85" t="s">
        <v>146</v>
      </c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116">
        <v>1129.0999999999999</v>
      </c>
      <c r="V344" s="120">
        <v>1403.44</v>
      </c>
      <c r="W344" s="120">
        <v>130.19999999999999</v>
      </c>
      <c r="X344" s="120" t="s">
        <v>207</v>
      </c>
      <c r="Y344" s="120">
        <v>127.27</v>
      </c>
      <c r="Z344" s="120" t="s">
        <v>207</v>
      </c>
      <c r="AA344" s="120">
        <v>169.88</v>
      </c>
      <c r="AB344" s="120" t="s">
        <v>207</v>
      </c>
      <c r="AC344" s="120">
        <v>112.02</v>
      </c>
      <c r="AD344" s="120" t="s">
        <v>207</v>
      </c>
      <c r="AE344" s="120">
        <v>60.86</v>
      </c>
      <c r="AF344" s="120" t="s">
        <v>207</v>
      </c>
      <c r="AG344" s="120">
        <v>14.55</v>
      </c>
      <c r="AH344" s="120" t="s">
        <v>207</v>
      </c>
      <c r="AI344" s="120">
        <v>15.94</v>
      </c>
      <c r="AJ344" s="118" t="s">
        <v>207</v>
      </c>
      <c r="AK344" s="120">
        <v>16.5</v>
      </c>
      <c r="AL344" s="118" t="s">
        <v>207</v>
      </c>
      <c r="AM344" s="120">
        <v>19.36</v>
      </c>
      <c r="AN344" s="118" t="s">
        <v>207</v>
      </c>
      <c r="AO344" s="120">
        <v>108.99</v>
      </c>
      <c r="AP344" s="120" t="s">
        <v>207</v>
      </c>
      <c r="AQ344" s="120">
        <v>101.55</v>
      </c>
      <c r="AR344" s="120" t="s">
        <v>207</v>
      </c>
      <c r="AS344" s="120">
        <v>130.47</v>
      </c>
      <c r="AT344" s="120" t="s">
        <v>207</v>
      </c>
      <c r="AU344" s="118">
        <f t="shared" si="26"/>
        <v>1007.59</v>
      </c>
      <c r="AV344" s="88"/>
      <c r="AW344" s="88"/>
      <c r="AX344" s="88"/>
      <c r="AY344" s="88"/>
      <c r="AZ344" s="88"/>
    </row>
    <row r="345" spans="1:52" s="90" customFormat="1" ht="15" customHeight="1" x14ac:dyDescent="0.3">
      <c r="A345" s="114">
        <v>334</v>
      </c>
      <c r="B345" s="174" t="s">
        <v>1026</v>
      </c>
      <c r="C345" s="120" t="s">
        <v>804</v>
      </c>
      <c r="D345" s="88"/>
      <c r="E345" s="88"/>
      <c r="F345" s="120" t="s">
        <v>958</v>
      </c>
      <c r="G345" s="25" t="s">
        <v>145</v>
      </c>
      <c r="H345" s="85" t="s">
        <v>146</v>
      </c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116"/>
      <c r="V345" s="120"/>
      <c r="W345" s="120"/>
      <c r="X345" s="120" t="s">
        <v>207</v>
      </c>
      <c r="Y345" s="120"/>
      <c r="Z345" s="120" t="s">
        <v>207</v>
      </c>
      <c r="AA345" s="120"/>
      <c r="AB345" s="120" t="s">
        <v>207</v>
      </c>
      <c r="AC345" s="120"/>
      <c r="AD345" s="120" t="s">
        <v>207</v>
      </c>
      <c r="AE345" s="120"/>
      <c r="AF345" s="120" t="s">
        <v>207</v>
      </c>
      <c r="AG345" s="120"/>
      <c r="AH345" s="120" t="s">
        <v>207</v>
      </c>
      <c r="AI345" s="120"/>
      <c r="AJ345" s="118" t="s">
        <v>207</v>
      </c>
      <c r="AK345" s="120"/>
      <c r="AL345" s="118" t="s">
        <v>207</v>
      </c>
      <c r="AM345" s="120"/>
      <c r="AN345" s="118" t="s">
        <v>207</v>
      </c>
      <c r="AO345" s="120"/>
      <c r="AP345" s="120" t="s">
        <v>207</v>
      </c>
      <c r="AQ345" s="120"/>
      <c r="AR345" s="120" t="s">
        <v>207</v>
      </c>
      <c r="AS345" s="120"/>
      <c r="AT345" s="120" t="s">
        <v>207</v>
      </c>
      <c r="AU345" s="118">
        <f t="shared" si="26"/>
        <v>0</v>
      </c>
      <c r="AV345" s="88"/>
      <c r="AW345" s="88"/>
      <c r="AX345" s="88"/>
      <c r="AY345" s="88"/>
      <c r="AZ345" s="88"/>
    </row>
    <row r="346" spans="1:52" s="90" customFormat="1" ht="15" customHeight="1" x14ac:dyDescent="0.3">
      <c r="A346" s="114">
        <v>335</v>
      </c>
      <c r="B346" s="174" t="s">
        <v>1027</v>
      </c>
      <c r="C346" s="120" t="s">
        <v>804</v>
      </c>
      <c r="D346" s="88"/>
      <c r="E346" s="88"/>
      <c r="F346" s="120" t="s">
        <v>958</v>
      </c>
      <c r="G346" s="25" t="s">
        <v>145</v>
      </c>
      <c r="H346" s="85" t="s">
        <v>146</v>
      </c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116"/>
      <c r="V346" s="120"/>
      <c r="W346" s="120">
        <v>39.229999999999997</v>
      </c>
      <c r="X346" s="120" t="s">
        <v>207</v>
      </c>
      <c r="Y346" s="120">
        <v>38.700000000000003</v>
      </c>
      <c r="Z346" s="120" t="s">
        <v>207</v>
      </c>
      <c r="AA346" s="120">
        <v>54</v>
      </c>
      <c r="AB346" s="120" t="s">
        <v>207</v>
      </c>
      <c r="AC346" s="120">
        <v>30.6</v>
      </c>
      <c r="AD346" s="120" t="s">
        <v>207</v>
      </c>
      <c r="AE346" s="120">
        <v>11.5</v>
      </c>
      <c r="AF346" s="120" t="s">
        <v>207</v>
      </c>
      <c r="AG346" s="120">
        <v>0</v>
      </c>
      <c r="AH346" s="120" t="s">
        <v>207</v>
      </c>
      <c r="AI346" s="120">
        <v>0</v>
      </c>
      <c r="AJ346" s="118" t="s">
        <v>207</v>
      </c>
      <c r="AK346" s="120">
        <v>0</v>
      </c>
      <c r="AL346" s="118" t="s">
        <v>207</v>
      </c>
      <c r="AM346" s="120">
        <v>0</v>
      </c>
      <c r="AN346" s="118" t="s">
        <v>207</v>
      </c>
      <c r="AO346" s="120">
        <v>37.299999999999997</v>
      </c>
      <c r="AP346" s="120" t="s">
        <v>207</v>
      </c>
      <c r="AQ346" s="120">
        <v>30.4</v>
      </c>
      <c r="AR346" s="120" t="s">
        <v>207</v>
      </c>
      <c r="AS346" s="120">
        <v>41</v>
      </c>
      <c r="AT346" s="120" t="s">
        <v>207</v>
      </c>
      <c r="AU346" s="118">
        <f t="shared" si="26"/>
        <v>282.73</v>
      </c>
      <c r="AV346" s="88"/>
      <c r="AW346" s="88"/>
      <c r="AX346" s="88"/>
      <c r="AY346" s="88"/>
      <c r="AZ346" s="88"/>
    </row>
    <row r="347" spans="1:52" s="90" customFormat="1" ht="15" customHeight="1" x14ac:dyDescent="0.3">
      <c r="A347" s="114">
        <v>336</v>
      </c>
      <c r="B347" s="174" t="s">
        <v>1028</v>
      </c>
      <c r="C347" s="120" t="s">
        <v>804</v>
      </c>
      <c r="D347" s="88"/>
      <c r="E347" s="88"/>
      <c r="F347" s="120" t="s">
        <v>958</v>
      </c>
      <c r="G347" s="25" t="s">
        <v>145</v>
      </c>
      <c r="H347" s="85" t="s">
        <v>146</v>
      </c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116"/>
      <c r="V347" s="120"/>
      <c r="W347" s="120">
        <v>14.64</v>
      </c>
      <c r="X347" s="120" t="s">
        <v>207</v>
      </c>
      <c r="Y347" s="120">
        <v>14.45</v>
      </c>
      <c r="Z347" s="120" t="s">
        <v>207</v>
      </c>
      <c r="AA347" s="120">
        <v>19.8</v>
      </c>
      <c r="AB347" s="120" t="s">
        <v>207</v>
      </c>
      <c r="AC347" s="120">
        <v>11.4</v>
      </c>
      <c r="AD347" s="120" t="s">
        <v>207</v>
      </c>
      <c r="AE347" s="120">
        <v>5.3</v>
      </c>
      <c r="AF347" s="120" t="s">
        <v>207</v>
      </c>
      <c r="AG347" s="120">
        <v>0</v>
      </c>
      <c r="AH347" s="120" t="s">
        <v>207</v>
      </c>
      <c r="AI347" s="120">
        <v>0</v>
      </c>
      <c r="AJ347" s="118" t="s">
        <v>207</v>
      </c>
      <c r="AK347" s="120">
        <v>0</v>
      </c>
      <c r="AL347" s="118" t="s">
        <v>207</v>
      </c>
      <c r="AM347" s="120">
        <v>0</v>
      </c>
      <c r="AN347" s="118" t="s">
        <v>207</v>
      </c>
      <c r="AO347" s="120">
        <v>13</v>
      </c>
      <c r="AP347" s="120" t="s">
        <v>207</v>
      </c>
      <c r="AQ347" s="120">
        <v>12.2</v>
      </c>
      <c r="AR347" s="120" t="s">
        <v>207</v>
      </c>
      <c r="AS347" s="120">
        <v>15.74</v>
      </c>
      <c r="AT347" s="120" t="s">
        <v>207</v>
      </c>
      <c r="AU347" s="118">
        <f t="shared" si="26"/>
        <v>106.53</v>
      </c>
      <c r="AV347" s="88"/>
      <c r="AW347" s="88"/>
      <c r="AX347" s="88"/>
      <c r="AY347" s="88"/>
      <c r="AZ347" s="88"/>
    </row>
    <row r="348" spans="1:52" s="90" customFormat="1" ht="15" customHeight="1" x14ac:dyDescent="0.3">
      <c r="A348" s="114">
        <v>337</v>
      </c>
      <c r="B348" s="174" t="s">
        <v>1029</v>
      </c>
      <c r="C348" s="120" t="s">
        <v>804</v>
      </c>
      <c r="D348" s="88"/>
      <c r="E348" s="88"/>
      <c r="F348" s="120" t="s">
        <v>958</v>
      </c>
      <c r="G348" s="25" t="s">
        <v>145</v>
      </c>
      <c r="H348" s="85" t="s">
        <v>146</v>
      </c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116">
        <v>205.62</v>
      </c>
      <c r="V348" s="120">
        <v>251.05</v>
      </c>
      <c r="W348" s="120">
        <v>24.21</v>
      </c>
      <c r="X348" s="120" t="s">
        <v>207</v>
      </c>
      <c r="Y348" s="120">
        <v>23.82</v>
      </c>
      <c r="Z348" s="120" t="s">
        <v>207</v>
      </c>
      <c r="AA348" s="120">
        <v>30.15</v>
      </c>
      <c r="AB348" s="120" t="s">
        <v>207</v>
      </c>
      <c r="AC348" s="120">
        <v>17.329999999999998</v>
      </c>
      <c r="AD348" s="120" t="s">
        <v>207</v>
      </c>
      <c r="AE348" s="120">
        <v>7.4</v>
      </c>
      <c r="AF348" s="120" t="s">
        <v>207</v>
      </c>
      <c r="AG348" s="120">
        <v>3.45</v>
      </c>
      <c r="AH348" s="120" t="s">
        <v>207</v>
      </c>
      <c r="AI348" s="120">
        <v>3.36</v>
      </c>
      <c r="AJ348" s="118" t="s">
        <v>207</v>
      </c>
      <c r="AK348" s="120">
        <v>2.67</v>
      </c>
      <c r="AL348" s="118" t="s">
        <v>207</v>
      </c>
      <c r="AM348" s="120">
        <v>3.99</v>
      </c>
      <c r="AN348" s="118" t="s">
        <v>207</v>
      </c>
      <c r="AO348" s="120">
        <v>18.96</v>
      </c>
      <c r="AP348" s="120" t="s">
        <v>207</v>
      </c>
      <c r="AQ348" s="120">
        <v>17.93</v>
      </c>
      <c r="AR348" s="120" t="s">
        <v>207</v>
      </c>
      <c r="AS348" s="120">
        <v>23.77</v>
      </c>
      <c r="AT348" s="120" t="s">
        <v>207</v>
      </c>
      <c r="AU348" s="118">
        <f t="shared" si="26"/>
        <v>177.04000000000002</v>
      </c>
      <c r="AV348" s="88"/>
      <c r="AW348" s="88"/>
      <c r="AX348" s="88"/>
      <c r="AY348" s="88"/>
      <c r="AZ348" s="88"/>
    </row>
    <row r="349" spans="1:52" s="90" customFormat="1" ht="15" customHeight="1" x14ac:dyDescent="0.3">
      <c r="A349" s="114">
        <v>338</v>
      </c>
      <c r="B349" s="174" t="s">
        <v>1030</v>
      </c>
      <c r="C349" s="120" t="s">
        <v>804</v>
      </c>
      <c r="D349" s="88"/>
      <c r="E349" s="88"/>
      <c r="F349" s="120" t="s">
        <v>958</v>
      </c>
      <c r="G349" s="25" t="s">
        <v>145</v>
      </c>
      <c r="H349" s="85" t="s">
        <v>146</v>
      </c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116">
        <v>436.17</v>
      </c>
      <c r="V349" s="120">
        <v>522.47</v>
      </c>
      <c r="W349" s="120"/>
      <c r="X349" s="120" t="s">
        <v>207</v>
      </c>
      <c r="Y349" s="120"/>
      <c r="Z349" s="120" t="s">
        <v>207</v>
      </c>
      <c r="AA349" s="120"/>
      <c r="AB349" s="120" t="s">
        <v>207</v>
      </c>
      <c r="AC349" s="120"/>
      <c r="AD349" s="120" t="s">
        <v>207</v>
      </c>
      <c r="AE349" s="120"/>
      <c r="AF349" s="120" t="s">
        <v>207</v>
      </c>
      <c r="AG349" s="120"/>
      <c r="AH349" s="120" t="s">
        <v>207</v>
      </c>
      <c r="AI349" s="120"/>
      <c r="AJ349" s="118" t="s">
        <v>207</v>
      </c>
      <c r="AK349" s="120"/>
      <c r="AL349" s="118" t="s">
        <v>207</v>
      </c>
      <c r="AM349" s="120"/>
      <c r="AN349" s="118" t="s">
        <v>207</v>
      </c>
      <c r="AO349" s="120"/>
      <c r="AP349" s="120" t="s">
        <v>207</v>
      </c>
      <c r="AQ349" s="120"/>
      <c r="AR349" s="120" t="s">
        <v>207</v>
      </c>
      <c r="AS349" s="120"/>
      <c r="AT349" s="120" t="s">
        <v>207</v>
      </c>
      <c r="AU349" s="118">
        <f t="shared" si="26"/>
        <v>0</v>
      </c>
      <c r="AV349" s="88"/>
      <c r="AW349" s="88"/>
      <c r="AX349" s="88"/>
      <c r="AY349" s="88"/>
      <c r="AZ349" s="88"/>
    </row>
    <row r="350" spans="1:52" s="90" customFormat="1" ht="15" customHeight="1" x14ac:dyDescent="0.3">
      <c r="A350" s="114">
        <v>339</v>
      </c>
      <c r="B350" s="174" t="s">
        <v>1031</v>
      </c>
      <c r="C350" s="120" t="s">
        <v>804</v>
      </c>
      <c r="D350" s="88"/>
      <c r="E350" s="88"/>
      <c r="F350" s="120" t="s">
        <v>958</v>
      </c>
      <c r="G350" s="25" t="s">
        <v>145</v>
      </c>
      <c r="H350" s="85" t="s">
        <v>146</v>
      </c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116">
        <v>342.07</v>
      </c>
      <c r="V350" s="120">
        <v>406.18</v>
      </c>
      <c r="W350" s="120">
        <v>59.98</v>
      </c>
      <c r="X350" s="120" t="s">
        <v>207</v>
      </c>
      <c r="Y350" s="120">
        <v>46.5</v>
      </c>
      <c r="Z350" s="120" t="s">
        <v>207</v>
      </c>
      <c r="AA350" s="120">
        <v>58.51</v>
      </c>
      <c r="AB350" s="120" t="s">
        <v>207</v>
      </c>
      <c r="AC350" s="120">
        <v>36.64</v>
      </c>
      <c r="AD350" s="120" t="s">
        <v>207</v>
      </c>
      <c r="AE350" s="120">
        <v>18.2</v>
      </c>
      <c r="AF350" s="120" t="s">
        <v>207</v>
      </c>
      <c r="AG350" s="120">
        <v>7.91</v>
      </c>
      <c r="AH350" s="120" t="s">
        <v>207</v>
      </c>
      <c r="AI350" s="120">
        <v>6.41</v>
      </c>
      <c r="AJ350" s="118" t="s">
        <v>207</v>
      </c>
      <c r="AK350" s="120">
        <v>6.67</v>
      </c>
      <c r="AL350" s="118" t="s">
        <v>207</v>
      </c>
      <c r="AM350" s="120">
        <v>49.83</v>
      </c>
      <c r="AN350" s="118" t="s">
        <v>207</v>
      </c>
      <c r="AO350" s="120">
        <v>9.15</v>
      </c>
      <c r="AP350" s="120" t="s">
        <v>207</v>
      </c>
      <c r="AQ350" s="120">
        <v>37.200000000000003</v>
      </c>
      <c r="AR350" s="120" t="s">
        <v>207</v>
      </c>
      <c r="AS350" s="120">
        <v>37.130000000000003</v>
      </c>
      <c r="AT350" s="120" t="s">
        <v>207</v>
      </c>
      <c r="AU350" s="118">
        <f t="shared" si="26"/>
        <v>374.12999999999994</v>
      </c>
      <c r="AV350" s="88"/>
      <c r="AW350" s="88"/>
      <c r="AX350" s="88"/>
      <c r="AY350" s="88"/>
      <c r="AZ350" s="88"/>
    </row>
    <row r="351" spans="1:52" s="90" customFormat="1" ht="15" customHeight="1" x14ac:dyDescent="0.3">
      <c r="A351" s="114">
        <v>340</v>
      </c>
      <c r="B351" s="174" t="s">
        <v>1032</v>
      </c>
      <c r="C351" s="120" t="s">
        <v>804</v>
      </c>
      <c r="D351" s="88"/>
      <c r="E351" s="88"/>
      <c r="F351" s="120" t="s">
        <v>958</v>
      </c>
      <c r="G351" s="25" t="s">
        <v>145</v>
      </c>
      <c r="H351" s="85" t="s">
        <v>146</v>
      </c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116">
        <v>353.49</v>
      </c>
      <c r="V351" s="120">
        <v>419.39</v>
      </c>
      <c r="W351" s="120">
        <v>61.77</v>
      </c>
      <c r="X351" s="120" t="s">
        <v>207</v>
      </c>
      <c r="Y351" s="120">
        <v>47.89</v>
      </c>
      <c r="Z351" s="120" t="s">
        <v>207</v>
      </c>
      <c r="AA351" s="120">
        <v>60.3</v>
      </c>
      <c r="AB351" s="120" t="s">
        <v>207</v>
      </c>
      <c r="AC351" s="120">
        <v>37.729999999999997</v>
      </c>
      <c r="AD351" s="120" t="s">
        <v>207</v>
      </c>
      <c r="AE351" s="120">
        <v>18.72</v>
      </c>
      <c r="AF351" s="120" t="s">
        <v>207</v>
      </c>
      <c r="AG351" s="120">
        <v>8.35</v>
      </c>
      <c r="AH351" s="120" t="s">
        <v>207</v>
      </c>
      <c r="AI351" s="120">
        <v>6.78</v>
      </c>
      <c r="AJ351" s="118" t="s">
        <v>207</v>
      </c>
      <c r="AK351" s="120">
        <v>7.02</v>
      </c>
      <c r="AL351" s="118" t="s">
        <v>207</v>
      </c>
      <c r="AM351" s="120">
        <v>9.57</v>
      </c>
      <c r="AN351" s="118" t="s">
        <v>207</v>
      </c>
      <c r="AO351" s="120">
        <v>38.29</v>
      </c>
      <c r="AP351" s="120" t="s">
        <v>207</v>
      </c>
      <c r="AQ351" s="120">
        <v>38.24</v>
      </c>
      <c r="AR351" s="120" t="s">
        <v>207</v>
      </c>
      <c r="AS351" s="120">
        <v>51.34</v>
      </c>
      <c r="AT351" s="120" t="s">
        <v>207</v>
      </c>
      <c r="AU351" s="118">
        <f t="shared" si="26"/>
        <v>386</v>
      </c>
      <c r="AV351" s="88"/>
      <c r="AW351" s="88"/>
      <c r="AX351" s="88"/>
      <c r="AY351" s="88"/>
      <c r="AZ351" s="88"/>
    </row>
    <row r="352" spans="1:52" s="90" customFormat="1" ht="15" customHeight="1" x14ac:dyDescent="0.3">
      <c r="A352" s="114">
        <v>341</v>
      </c>
      <c r="B352" s="174" t="s">
        <v>1033</v>
      </c>
      <c r="C352" s="120" t="s">
        <v>804</v>
      </c>
      <c r="D352" s="88"/>
      <c r="E352" s="88"/>
      <c r="F352" s="120" t="s">
        <v>958</v>
      </c>
      <c r="G352" s="25" t="s">
        <v>145</v>
      </c>
      <c r="H352" s="85" t="s">
        <v>146</v>
      </c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116">
        <v>461.78</v>
      </c>
      <c r="V352" s="120">
        <v>548.29</v>
      </c>
      <c r="W352" s="120">
        <v>81.040000000000006</v>
      </c>
      <c r="X352" s="120" t="s">
        <v>207</v>
      </c>
      <c r="Y352" s="120">
        <v>62.66</v>
      </c>
      <c r="Z352" s="120" t="s">
        <v>207</v>
      </c>
      <c r="AA352" s="120">
        <v>79.08</v>
      </c>
      <c r="AB352" s="120" t="s">
        <v>207</v>
      </c>
      <c r="AC352" s="120">
        <v>49.28</v>
      </c>
      <c r="AD352" s="120" t="s">
        <v>207</v>
      </c>
      <c r="AE352" s="120">
        <v>24.44</v>
      </c>
      <c r="AF352" s="120" t="s">
        <v>207</v>
      </c>
      <c r="AG352" s="120">
        <v>10.66</v>
      </c>
      <c r="AH352" s="120" t="s">
        <v>207</v>
      </c>
      <c r="AI352" s="120">
        <v>8.74</v>
      </c>
      <c r="AJ352" s="118" t="s">
        <v>207</v>
      </c>
      <c r="AK352" s="120">
        <v>8.98</v>
      </c>
      <c r="AL352" s="118" t="s">
        <v>207</v>
      </c>
      <c r="AM352" s="120">
        <v>12.3</v>
      </c>
      <c r="AN352" s="118" t="s">
        <v>207</v>
      </c>
      <c r="AO352" s="120">
        <v>50.17</v>
      </c>
      <c r="AP352" s="120" t="s">
        <v>207</v>
      </c>
      <c r="AQ352" s="120">
        <v>50.1</v>
      </c>
      <c r="AR352" s="120" t="s">
        <v>207</v>
      </c>
      <c r="AS352" s="120">
        <v>67.260000000000005</v>
      </c>
      <c r="AT352" s="120" t="s">
        <v>207</v>
      </c>
      <c r="AU352" s="118">
        <f t="shared" si="26"/>
        <v>504.71000000000004</v>
      </c>
      <c r="AV352" s="88"/>
      <c r="AW352" s="88"/>
      <c r="AX352" s="88"/>
      <c r="AY352" s="88"/>
      <c r="AZ352" s="88"/>
    </row>
    <row r="353" spans="1:52" s="90" customFormat="1" ht="15" customHeight="1" x14ac:dyDescent="0.3">
      <c r="A353" s="114">
        <v>342</v>
      </c>
      <c r="B353" s="174" t="s">
        <v>1034</v>
      </c>
      <c r="C353" s="120" t="s">
        <v>804</v>
      </c>
      <c r="D353" s="88"/>
      <c r="E353" s="88"/>
      <c r="F353" s="120" t="s">
        <v>958</v>
      </c>
      <c r="G353" s="25" t="s">
        <v>145</v>
      </c>
      <c r="H353" s="85" t="s">
        <v>146</v>
      </c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116">
        <v>114.07</v>
      </c>
      <c r="V353" s="120">
        <v>141.35</v>
      </c>
      <c r="W353" s="120">
        <v>22.7</v>
      </c>
      <c r="X353" s="120" t="s">
        <v>207</v>
      </c>
      <c r="Y353" s="120">
        <v>17.600000000000001</v>
      </c>
      <c r="Z353" s="120" t="s">
        <v>207</v>
      </c>
      <c r="AA353" s="120">
        <v>22.2</v>
      </c>
      <c r="AB353" s="120" t="s">
        <v>207</v>
      </c>
      <c r="AC353" s="120">
        <v>13.9</v>
      </c>
      <c r="AD353" s="120" t="s">
        <v>207</v>
      </c>
      <c r="AE353" s="120">
        <v>7.5</v>
      </c>
      <c r="AF353" s="120" t="s">
        <v>207</v>
      </c>
      <c r="AG353" s="120">
        <v>0</v>
      </c>
      <c r="AH353" s="120" t="s">
        <v>207</v>
      </c>
      <c r="AI353" s="120">
        <v>0</v>
      </c>
      <c r="AJ353" s="118" t="s">
        <v>207</v>
      </c>
      <c r="AK353" s="120">
        <v>0</v>
      </c>
      <c r="AL353" s="118" t="s">
        <v>207</v>
      </c>
      <c r="AM353" s="120">
        <v>0</v>
      </c>
      <c r="AN353" s="118" t="s">
        <v>207</v>
      </c>
      <c r="AO353" s="120">
        <v>14.87</v>
      </c>
      <c r="AP353" s="120" t="s">
        <v>207</v>
      </c>
      <c r="AQ353" s="120">
        <v>14.52</v>
      </c>
      <c r="AR353" s="120" t="s">
        <v>207</v>
      </c>
      <c r="AS353" s="120">
        <v>18.989999999999998</v>
      </c>
      <c r="AT353" s="120" t="s">
        <v>207</v>
      </c>
      <c r="AU353" s="118">
        <f t="shared" si="26"/>
        <v>132.28</v>
      </c>
      <c r="AV353" s="88"/>
      <c r="AW353" s="88"/>
      <c r="AX353" s="88"/>
      <c r="AY353" s="88"/>
      <c r="AZ353" s="88"/>
    </row>
    <row r="354" spans="1:52" s="90" customFormat="1" ht="15" customHeight="1" x14ac:dyDescent="0.3">
      <c r="A354" s="114">
        <v>343</v>
      </c>
      <c r="B354" s="174" t="s">
        <v>1035</v>
      </c>
      <c r="C354" s="120" t="s">
        <v>804</v>
      </c>
      <c r="D354" s="88"/>
      <c r="E354" s="88"/>
      <c r="F354" s="120" t="s">
        <v>958</v>
      </c>
      <c r="G354" s="25" t="s">
        <v>145</v>
      </c>
      <c r="H354" s="85" t="s">
        <v>146</v>
      </c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116"/>
      <c r="V354" s="120">
        <v>426.41</v>
      </c>
      <c r="W354" s="120">
        <v>41.9</v>
      </c>
      <c r="X354" s="120" t="s">
        <v>207</v>
      </c>
      <c r="Y354" s="120">
        <v>41.95</v>
      </c>
      <c r="Z354" s="120" t="s">
        <v>207</v>
      </c>
      <c r="AA354" s="120">
        <v>52.83</v>
      </c>
      <c r="AB354" s="120" t="s">
        <v>207</v>
      </c>
      <c r="AC354" s="120">
        <v>31.51</v>
      </c>
      <c r="AD354" s="120" t="s">
        <v>207</v>
      </c>
      <c r="AE354" s="120">
        <v>12.57</v>
      </c>
      <c r="AF354" s="120" t="s">
        <v>207</v>
      </c>
      <c r="AG354" s="120">
        <v>5.28</v>
      </c>
      <c r="AH354" s="120" t="s">
        <v>207</v>
      </c>
      <c r="AI354" s="120">
        <v>5.0999999999999996</v>
      </c>
      <c r="AJ354" s="118" t="s">
        <v>207</v>
      </c>
      <c r="AK354" s="120">
        <v>5.21</v>
      </c>
      <c r="AL354" s="118" t="s">
        <v>207</v>
      </c>
      <c r="AM354" s="120">
        <v>6.15</v>
      </c>
      <c r="AN354" s="118" t="s">
        <v>207</v>
      </c>
      <c r="AO354" s="120">
        <v>36.33</v>
      </c>
      <c r="AP354" s="120" t="s">
        <v>207</v>
      </c>
      <c r="AQ354" s="120">
        <v>30.38</v>
      </c>
      <c r="AR354" s="120" t="s">
        <v>207</v>
      </c>
      <c r="AS354" s="120">
        <v>38.200000000000003</v>
      </c>
      <c r="AT354" s="120" t="s">
        <v>207</v>
      </c>
      <c r="AU354" s="118">
        <f t="shared" si="26"/>
        <v>307.40999999999997</v>
      </c>
      <c r="AV354" s="88"/>
      <c r="AW354" s="88"/>
      <c r="AX354" s="88"/>
      <c r="AY354" s="88"/>
      <c r="AZ354" s="88"/>
    </row>
    <row r="355" spans="1:52" s="90" customFormat="1" ht="15" customHeight="1" x14ac:dyDescent="0.3">
      <c r="A355" s="114">
        <v>344</v>
      </c>
      <c r="B355" s="174" t="s">
        <v>1036</v>
      </c>
      <c r="C355" s="120" t="s">
        <v>804</v>
      </c>
      <c r="D355" s="88"/>
      <c r="E355" s="88"/>
      <c r="F355" s="120" t="s">
        <v>958</v>
      </c>
      <c r="G355" s="25" t="s">
        <v>145</v>
      </c>
      <c r="H355" s="85" t="s">
        <v>146</v>
      </c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116"/>
      <c r="V355" s="120">
        <v>400.63</v>
      </c>
      <c r="W355" s="120">
        <v>36.74</v>
      </c>
      <c r="X355" s="120" t="s">
        <v>207</v>
      </c>
      <c r="Y355" s="120">
        <v>36.6</v>
      </c>
      <c r="Z355" s="120" t="s">
        <v>207</v>
      </c>
      <c r="AA355" s="120">
        <v>49.73</v>
      </c>
      <c r="AB355" s="120" t="s">
        <v>207</v>
      </c>
      <c r="AC355" s="120">
        <v>29.61</v>
      </c>
      <c r="AD355" s="120" t="s">
        <v>207</v>
      </c>
      <c r="AE355" s="120">
        <v>11.83</v>
      </c>
      <c r="AF355" s="120" t="s">
        <v>207</v>
      </c>
      <c r="AG355" s="120">
        <v>4.91</v>
      </c>
      <c r="AH355" s="120" t="s">
        <v>207</v>
      </c>
      <c r="AI355" s="120">
        <v>4.74</v>
      </c>
      <c r="AJ355" s="118" t="s">
        <v>207</v>
      </c>
      <c r="AK355" s="120">
        <v>4.8600000000000003</v>
      </c>
      <c r="AL355" s="118" t="s">
        <v>207</v>
      </c>
      <c r="AM355" s="120">
        <v>5.82</v>
      </c>
      <c r="AN355" s="118" t="s">
        <v>207</v>
      </c>
      <c r="AO355" s="120">
        <v>34.15</v>
      </c>
      <c r="AP355" s="120" t="s">
        <v>207</v>
      </c>
      <c r="AQ355" s="120">
        <v>28.55</v>
      </c>
      <c r="AR355" s="120" t="s">
        <v>207</v>
      </c>
      <c r="AS355" s="120">
        <v>35.92</v>
      </c>
      <c r="AT355" s="120" t="s">
        <v>207</v>
      </c>
      <c r="AU355" s="118">
        <f t="shared" si="26"/>
        <v>283.46000000000004</v>
      </c>
      <c r="AV355" s="88"/>
      <c r="AW355" s="88"/>
      <c r="AX355" s="88"/>
      <c r="AY355" s="88"/>
      <c r="AZ355" s="88"/>
    </row>
    <row r="356" spans="1:52" s="90" customFormat="1" ht="15" customHeight="1" x14ac:dyDescent="0.3">
      <c r="A356" s="114">
        <v>345</v>
      </c>
      <c r="B356" s="174" t="s">
        <v>1037</v>
      </c>
      <c r="C356" s="120" t="s">
        <v>804</v>
      </c>
      <c r="D356" s="88"/>
      <c r="E356" s="88"/>
      <c r="F356" s="120" t="s">
        <v>958</v>
      </c>
      <c r="G356" s="25" t="s">
        <v>145</v>
      </c>
      <c r="H356" s="85" t="s">
        <v>146</v>
      </c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116">
        <v>422.24</v>
      </c>
      <c r="V356" s="120">
        <v>642.89</v>
      </c>
      <c r="W356" s="120">
        <v>39.39</v>
      </c>
      <c r="X356" s="120" t="s">
        <v>207</v>
      </c>
      <c r="Y356" s="120">
        <v>41.04</v>
      </c>
      <c r="Z356" s="120" t="s">
        <v>207</v>
      </c>
      <c r="AA356" s="120">
        <v>67.23</v>
      </c>
      <c r="AB356" s="120" t="s">
        <v>207</v>
      </c>
      <c r="AC356" s="120">
        <v>40.01</v>
      </c>
      <c r="AD356" s="120" t="s">
        <v>207</v>
      </c>
      <c r="AE356" s="120">
        <v>16.329999999999998</v>
      </c>
      <c r="AF356" s="120" t="s">
        <v>207</v>
      </c>
      <c r="AG356" s="120">
        <v>4.91</v>
      </c>
      <c r="AH356" s="120" t="s">
        <v>207</v>
      </c>
      <c r="AI356" s="120">
        <v>4.74</v>
      </c>
      <c r="AJ356" s="118" t="s">
        <v>207</v>
      </c>
      <c r="AK356" s="120">
        <v>4.8600000000000003</v>
      </c>
      <c r="AL356" s="118" t="s">
        <v>207</v>
      </c>
      <c r="AM356" s="120">
        <v>5.82</v>
      </c>
      <c r="AN356" s="118" t="s">
        <v>207</v>
      </c>
      <c r="AO356" s="120">
        <v>47.25</v>
      </c>
      <c r="AP356" s="120" t="s">
        <v>207</v>
      </c>
      <c r="AQ356" s="120">
        <v>38.950000000000003</v>
      </c>
      <c r="AR356" s="120" t="s">
        <v>207</v>
      </c>
      <c r="AS356" s="120">
        <v>48.72</v>
      </c>
      <c r="AT356" s="120" t="s">
        <v>207</v>
      </c>
      <c r="AU356" s="118">
        <f t="shared" si="26"/>
        <v>359.25</v>
      </c>
      <c r="AV356" s="88"/>
      <c r="AW356" s="88"/>
      <c r="AX356" s="88"/>
      <c r="AY356" s="88"/>
      <c r="AZ356" s="88"/>
    </row>
    <row r="357" spans="1:52" s="90" customFormat="1" ht="15" customHeight="1" x14ac:dyDescent="0.3">
      <c r="A357" s="114">
        <v>346</v>
      </c>
      <c r="B357" s="174" t="s">
        <v>1038</v>
      </c>
      <c r="C357" s="120" t="s">
        <v>804</v>
      </c>
      <c r="D357" s="88"/>
      <c r="E357" s="88"/>
      <c r="F357" s="120" t="s">
        <v>958</v>
      </c>
      <c r="G357" s="25" t="s">
        <v>145</v>
      </c>
      <c r="H357" s="85" t="s">
        <v>146</v>
      </c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116">
        <v>496.67</v>
      </c>
      <c r="V357" s="120">
        <f>272.52+614.92</f>
        <v>887.43999999999994</v>
      </c>
      <c r="W357" s="120">
        <v>47.85</v>
      </c>
      <c r="X357" s="120" t="s">
        <v>207</v>
      </c>
      <c r="Y357" s="120">
        <v>47.68</v>
      </c>
      <c r="Z357" s="120" t="s">
        <v>207</v>
      </c>
      <c r="AA357" s="120">
        <v>75.89</v>
      </c>
      <c r="AB357" s="120" t="s">
        <v>207</v>
      </c>
      <c r="AC357" s="120">
        <v>45.06</v>
      </c>
      <c r="AD357" s="120" t="s">
        <v>207</v>
      </c>
      <c r="AE357" s="120">
        <v>18.04</v>
      </c>
      <c r="AF357" s="120" t="s">
        <v>207</v>
      </c>
      <c r="AG357" s="120">
        <v>7.79</v>
      </c>
      <c r="AH357" s="120" t="s">
        <v>207</v>
      </c>
      <c r="AI357" s="120">
        <v>7.56</v>
      </c>
      <c r="AJ357" s="118" t="s">
        <v>207</v>
      </c>
      <c r="AK357" s="120">
        <v>7.88</v>
      </c>
      <c r="AL357" s="118" t="s">
        <v>207</v>
      </c>
      <c r="AM357" s="120">
        <v>9.26</v>
      </c>
      <c r="AN357" s="118" t="s">
        <v>207</v>
      </c>
      <c r="AO357" s="120">
        <v>51.9</v>
      </c>
      <c r="AP357" s="120" t="s">
        <v>207</v>
      </c>
      <c r="AQ357" s="120">
        <v>43.35</v>
      </c>
      <c r="AR357" s="120" t="s">
        <v>207</v>
      </c>
      <c r="AS357" s="120">
        <v>54.94</v>
      </c>
      <c r="AT357" s="120" t="s">
        <v>207</v>
      </c>
      <c r="AU357" s="118">
        <f t="shared" si="26"/>
        <v>417.2</v>
      </c>
      <c r="AV357" s="88"/>
      <c r="AW357" s="88"/>
      <c r="AX357" s="88"/>
      <c r="AY357" s="88"/>
      <c r="AZ357" s="88"/>
    </row>
    <row r="358" spans="1:52" s="90" customFormat="1" ht="15" customHeight="1" x14ac:dyDescent="0.3">
      <c r="A358" s="114">
        <v>347</v>
      </c>
      <c r="B358" s="174" t="s">
        <v>1039</v>
      </c>
      <c r="C358" s="120" t="s">
        <v>804</v>
      </c>
      <c r="D358" s="88"/>
      <c r="E358" s="88"/>
      <c r="F358" s="120" t="s">
        <v>958</v>
      </c>
      <c r="G358" s="25" t="s">
        <v>145</v>
      </c>
      <c r="H358" s="85" t="s">
        <v>146</v>
      </c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116">
        <v>316.12</v>
      </c>
      <c r="V358" s="120">
        <v>366.84</v>
      </c>
      <c r="W358" s="120">
        <v>54.54</v>
      </c>
      <c r="X358" s="120" t="s">
        <v>207</v>
      </c>
      <c r="Y358" s="120">
        <v>54.89</v>
      </c>
      <c r="Z358" s="120" t="s">
        <v>207</v>
      </c>
      <c r="AA358" s="120">
        <v>60.56</v>
      </c>
      <c r="AB358" s="120" t="s">
        <v>207</v>
      </c>
      <c r="AC358" s="120">
        <v>24.74</v>
      </c>
      <c r="AD358" s="120" t="s">
        <v>207</v>
      </c>
      <c r="AE358" s="120">
        <v>12.13</v>
      </c>
      <c r="AF358" s="120" t="s">
        <v>207</v>
      </c>
      <c r="AG358" s="120">
        <v>2.96</v>
      </c>
      <c r="AH358" s="120" t="s">
        <v>207</v>
      </c>
      <c r="AI358" s="120">
        <v>2.5</v>
      </c>
      <c r="AJ358" s="118" t="s">
        <v>207</v>
      </c>
      <c r="AK358" s="120">
        <v>2.9</v>
      </c>
      <c r="AL358" s="118" t="s">
        <v>207</v>
      </c>
      <c r="AM358" s="120">
        <v>3.78</v>
      </c>
      <c r="AN358" s="118" t="s">
        <v>207</v>
      </c>
      <c r="AO358" s="120">
        <v>35.049999999999997</v>
      </c>
      <c r="AP358" s="120" t="s">
        <v>207</v>
      </c>
      <c r="AQ358" s="120">
        <v>29.68</v>
      </c>
      <c r="AR358" s="120" t="s">
        <v>207</v>
      </c>
      <c r="AS358" s="120">
        <v>38.74</v>
      </c>
      <c r="AT358" s="120" t="s">
        <v>207</v>
      </c>
      <c r="AU358" s="118">
        <f t="shared" si="26"/>
        <v>322.47000000000003</v>
      </c>
      <c r="AV358" s="88"/>
      <c r="AW358" s="88"/>
      <c r="AX358" s="88"/>
      <c r="AY358" s="88"/>
      <c r="AZ358" s="88"/>
    </row>
    <row r="359" spans="1:52" s="90" customFormat="1" ht="15" customHeight="1" x14ac:dyDescent="0.3">
      <c r="A359" s="114">
        <v>348</v>
      </c>
      <c r="B359" s="174" t="s">
        <v>1040</v>
      </c>
      <c r="C359" s="120" t="s">
        <v>804</v>
      </c>
      <c r="D359" s="88"/>
      <c r="E359" s="88"/>
      <c r="F359" s="120" t="s">
        <v>958</v>
      </c>
      <c r="G359" s="25" t="s">
        <v>145</v>
      </c>
      <c r="H359" s="85" t="s">
        <v>146</v>
      </c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116">
        <v>295.47000000000003</v>
      </c>
      <c r="V359" s="120">
        <v>380.28</v>
      </c>
      <c r="W359" s="120">
        <v>40.630000000000003</v>
      </c>
      <c r="X359" s="120" t="s">
        <v>207</v>
      </c>
      <c r="Y359" s="120">
        <v>38.11</v>
      </c>
      <c r="Z359" s="120" t="s">
        <v>207</v>
      </c>
      <c r="AA359" s="120">
        <v>54.33</v>
      </c>
      <c r="AB359" s="120" t="s">
        <v>207</v>
      </c>
      <c r="AC359" s="120">
        <v>22.21</v>
      </c>
      <c r="AD359" s="120" t="s">
        <v>207</v>
      </c>
      <c r="AE359" s="120">
        <v>10.5</v>
      </c>
      <c r="AF359" s="120" t="s">
        <v>207</v>
      </c>
      <c r="AG359" s="120">
        <v>4.66</v>
      </c>
      <c r="AH359" s="120" t="s">
        <v>207</v>
      </c>
      <c r="AI359" s="120">
        <v>3.93</v>
      </c>
      <c r="AJ359" s="118" t="s">
        <v>207</v>
      </c>
      <c r="AK359" s="120">
        <v>4.6100000000000003</v>
      </c>
      <c r="AL359" s="118" t="s">
        <v>207</v>
      </c>
      <c r="AM359" s="120">
        <v>6.19</v>
      </c>
      <c r="AN359" s="118" t="s">
        <v>207</v>
      </c>
      <c r="AO359" s="120">
        <v>31.02</v>
      </c>
      <c r="AP359" s="120" t="s">
        <v>207</v>
      </c>
      <c r="AQ359" s="120">
        <v>26.28</v>
      </c>
      <c r="AR359" s="120" t="s">
        <v>207</v>
      </c>
      <c r="AS359" s="120">
        <v>34.65</v>
      </c>
      <c r="AT359" s="120" t="s">
        <v>207</v>
      </c>
      <c r="AU359" s="118">
        <f t="shared" si="26"/>
        <v>277.12</v>
      </c>
      <c r="AV359" s="88"/>
      <c r="AW359" s="88"/>
      <c r="AX359" s="88"/>
      <c r="AY359" s="88"/>
      <c r="AZ359" s="88"/>
    </row>
    <row r="360" spans="1:52" s="90" customFormat="1" ht="15" customHeight="1" x14ac:dyDescent="0.3">
      <c r="A360" s="114">
        <v>349</v>
      </c>
      <c r="B360" s="174" t="s">
        <v>1041</v>
      </c>
      <c r="C360" s="120" t="s">
        <v>804</v>
      </c>
      <c r="D360" s="88"/>
      <c r="E360" s="88"/>
      <c r="F360" s="120" t="s">
        <v>958</v>
      </c>
      <c r="G360" s="25" t="s">
        <v>145</v>
      </c>
      <c r="H360" s="85" t="s">
        <v>146</v>
      </c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116">
        <v>358.68</v>
      </c>
      <c r="V360" s="120">
        <v>404.06</v>
      </c>
      <c r="W360" s="120">
        <v>35.71</v>
      </c>
      <c r="X360" s="120" t="s">
        <v>207</v>
      </c>
      <c r="Y360" s="120">
        <v>35.590000000000003</v>
      </c>
      <c r="Z360" s="120" t="s">
        <v>207</v>
      </c>
      <c r="AA360" s="120">
        <v>65.41</v>
      </c>
      <c r="AB360" s="120" t="s">
        <v>207</v>
      </c>
      <c r="AC360" s="120">
        <v>26.78</v>
      </c>
      <c r="AD360" s="120" t="s">
        <v>207</v>
      </c>
      <c r="AE360" s="120">
        <v>12.5</v>
      </c>
      <c r="AF360" s="120" t="s">
        <v>207</v>
      </c>
      <c r="AG360" s="120">
        <v>6.21</v>
      </c>
      <c r="AH360" s="120" t="s">
        <v>207</v>
      </c>
      <c r="AI360" s="120">
        <v>5.21</v>
      </c>
      <c r="AJ360" s="118" t="s">
        <v>207</v>
      </c>
      <c r="AK360" s="120">
        <v>6.27</v>
      </c>
      <c r="AL360" s="118" t="s">
        <v>207</v>
      </c>
      <c r="AM360" s="120">
        <v>8.0399999999999991</v>
      </c>
      <c r="AN360" s="118" t="s">
        <v>207</v>
      </c>
      <c r="AO360" s="120">
        <v>37.03</v>
      </c>
      <c r="AP360" s="120" t="s">
        <v>207</v>
      </c>
      <c r="AQ360" s="120">
        <v>31.4</v>
      </c>
      <c r="AR360" s="120" t="s">
        <v>207</v>
      </c>
      <c r="AS360" s="120">
        <v>41.57</v>
      </c>
      <c r="AT360" s="120" t="s">
        <v>207</v>
      </c>
      <c r="AU360" s="118">
        <f t="shared" si="26"/>
        <v>311.72000000000003</v>
      </c>
      <c r="AV360" s="88"/>
      <c r="AW360" s="88"/>
      <c r="AX360" s="88"/>
      <c r="AY360" s="88"/>
      <c r="AZ360" s="88"/>
    </row>
    <row r="361" spans="1:52" s="90" customFormat="1" ht="15" customHeight="1" x14ac:dyDescent="0.3">
      <c r="A361" s="114">
        <v>350</v>
      </c>
      <c r="B361" s="174" t="s">
        <v>1042</v>
      </c>
      <c r="C361" s="120" t="s">
        <v>804</v>
      </c>
      <c r="D361" s="88"/>
      <c r="E361" s="88"/>
      <c r="F361" s="120" t="s">
        <v>958</v>
      </c>
      <c r="G361" s="25" t="s">
        <v>145</v>
      </c>
      <c r="H361" s="85" t="s">
        <v>146</v>
      </c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116"/>
      <c r="V361" s="120"/>
      <c r="W361" s="120"/>
      <c r="X361" s="120" t="s">
        <v>207</v>
      </c>
      <c r="Y361" s="120"/>
      <c r="Z361" s="120" t="s">
        <v>207</v>
      </c>
      <c r="AA361" s="120"/>
      <c r="AB361" s="120" t="s">
        <v>207</v>
      </c>
      <c r="AC361" s="120"/>
      <c r="AD361" s="120" t="s">
        <v>207</v>
      </c>
      <c r="AE361" s="120"/>
      <c r="AF361" s="120" t="s">
        <v>207</v>
      </c>
      <c r="AG361" s="120"/>
      <c r="AH361" s="120" t="s">
        <v>207</v>
      </c>
      <c r="AI361" s="120"/>
      <c r="AJ361" s="118" t="s">
        <v>207</v>
      </c>
      <c r="AK361" s="120"/>
      <c r="AL361" s="118" t="s">
        <v>207</v>
      </c>
      <c r="AM361" s="120"/>
      <c r="AN361" s="118" t="s">
        <v>207</v>
      </c>
      <c r="AO361" s="120"/>
      <c r="AP361" s="120" t="s">
        <v>207</v>
      </c>
      <c r="AQ361" s="120"/>
      <c r="AR361" s="120" t="s">
        <v>207</v>
      </c>
      <c r="AS361" s="120"/>
      <c r="AT361" s="120" t="s">
        <v>207</v>
      </c>
      <c r="AU361" s="118">
        <f t="shared" si="26"/>
        <v>0</v>
      </c>
      <c r="AV361" s="88"/>
      <c r="AW361" s="88"/>
      <c r="AX361" s="88"/>
      <c r="AY361" s="88"/>
      <c r="AZ361" s="88"/>
    </row>
    <row r="362" spans="1:52" s="90" customFormat="1" ht="15" customHeight="1" x14ac:dyDescent="0.3">
      <c r="A362" s="114">
        <v>351</v>
      </c>
      <c r="B362" s="174" t="s">
        <v>1043</v>
      </c>
      <c r="C362" s="120" t="s">
        <v>804</v>
      </c>
      <c r="D362" s="88"/>
      <c r="E362" s="88"/>
      <c r="F362" s="120" t="s">
        <v>958</v>
      </c>
      <c r="G362" s="25" t="s">
        <v>145</v>
      </c>
      <c r="H362" s="85" t="s">
        <v>146</v>
      </c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116"/>
      <c r="V362" s="120"/>
      <c r="W362" s="120"/>
      <c r="X362" s="120" t="s">
        <v>207</v>
      </c>
      <c r="Y362" s="120"/>
      <c r="Z362" s="120" t="s">
        <v>207</v>
      </c>
      <c r="AA362" s="120"/>
      <c r="AB362" s="120" t="s">
        <v>207</v>
      </c>
      <c r="AC362" s="120"/>
      <c r="AD362" s="120" t="s">
        <v>207</v>
      </c>
      <c r="AE362" s="120"/>
      <c r="AF362" s="120" t="s">
        <v>207</v>
      </c>
      <c r="AG362" s="120"/>
      <c r="AH362" s="120" t="s">
        <v>207</v>
      </c>
      <c r="AI362" s="120"/>
      <c r="AJ362" s="118" t="s">
        <v>207</v>
      </c>
      <c r="AK362" s="120"/>
      <c r="AL362" s="118" t="s">
        <v>207</v>
      </c>
      <c r="AM362" s="120"/>
      <c r="AN362" s="118" t="s">
        <v>207</v>
      </c>
      <c r="AO362" s="120"/>
      <c r="AP362" s="120" t="s">
        <v>207</v>
      </c>
      <c r="AQ362" s="120"/>
      <c r="AR362" s="120" t="s">
        <v>207</v>
      </c>
      <c r="AS362" s="120"/>
      <c r="AT362" s="120" t="s">
        <v>207</v>
      </c>
      <c r="AU362" s="118">
        <f t="shared" si="26"/>
        <v>0</v>
      </c>
      <c r="AV362" s="88"/>
      <c r="AW362" s="88"/>
      <c r="AX362" s="88"/>
      <c r="AY362" s="88"/>
      <c r="AZ362" s="88"/>
    </row>
    <row r="363" spans="1:52" s="90" customFormat="1" ht="15" customHeight="1" x14ac:dyDescent="0.3">
      <c r="A363" s="114">
        <v>352</v>
      </c>
      <c r="B363" s="174" t="s">
        <v>1044</v>
      </c>
      <c r="C363" s="120" t="s">
        <v>959</v>
      </c>
      <c r="D363" s="88"/>
      <c r="E363" s="88"/>
      <c r="F363" s="120" t="s">
        <v>958</v>
      </c>
      <c r="G363" s="25" t="s">
        <v>145</v>
      </c>
      <c r="H363" s="85" t="s">
        <v>146</v>
      </c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116">
        <v>339.09</v>
      </c>
      <c r="V363" s="120">
        <v>405.08</v>
      </c>
      <c r="W363" s="120">
        <v>79.3</v>
      </c>
      <c r="X363" s="120" t="s">
        <v>207</v>
      </c>
      <c r="Y363" s="120">
        <v>60.84</v>
      </c>
      <c r="Z363" s="120" t="s">
        <v>207</v>
      </c>
      <c r="AA363" s="120">
        <v>57.99</v>
      </c>
      <c r="AB363" s="120" t="s">
        <v>207</v>
      </c>
      <c r="AC363" s="120">
        <v>37.51</v>
      </c>
      <c r="AD363" s="120" t="s">
        <v>207</v>
      </c>
      <c r="AE363" s="120">
        <v>22.5</v>
      </c>
      <c r="AF363" s="120" t="s">
        <v>207</v>
      </c>
      <c r="AG363" s="120">
        <v>8.8699999999999992</v>
      </c>
      <c r="AH363" s="120" t="s">
        <v>207</v>
      </c>
      <c r="AI363" s="120">
        <v>9.68</v>
      </c>
      <c r="AJ363" s="118" t="s">
        <v>207</v>
      </c>
      <c r="AK363" s="120">
        <v>11</v>
      </c>
      <c r="AL363" s="118" t="s">
        <v>207</v>
      </c>
      <c r="AM363" s="120">
        <v>15.61</v>
      </c>
      <c r="AN363" s="118" t="s">
        <v>207</v>
      </c>
      <c r="AO363" s="120">
        <v>39.85</v>
      </c>
      <c r="AP363" s="120" t="s">
        <v>207</v>
      </c>
      <c r="AQ363" s="120">
        <v>41.79</v>
      </c>
      <c r="AR363" s="120" t="s">
        <v>207</v>
      </c>
      <c r="AS363" s="120">
        <v>45.23</v>
      </c>
      <c r="AT363" s="120" t="s">
        <v>207</v>
      </c>
      <c r="AU363" s="118">
        <f t="shared" si="26"/>
        <v>430.17000000000007</v>
      </c>
      <c r="AV363" s="88"/>
      <c r="AW363" s="88"/>
      <c r="AX363" s="88"/>
      <c r="AY363" s="88"/>
      <c r="AZ363" s="88"/>
    </row>
    <row r="364" spans="1:52" s="90" customFormat="1" ht="15" customHeight="1" x14ac:dyDescent="0.3">
      <c r="A364" s="114">
        <v>353</v>
      </c>
      <c r="B364" s="174" t="s">
        <v>1045</v>
      </c>
      <c r="C364" s="120" t="s">
        <v>804</v>
      </c>
      <c r="D364" s="88"/>
      <c r="E364" s="88"/>
      <c r="F364" s="120" t="s">
        <v>958</v>
      </c>
      <c r="G364" s="25" t="s">
        <v>145</v>
      </c>
      <c r="H364" s="85" t="s">
        <v>146</v>
      </c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116">
        <v>9802.19</v>
      </c>
      <c r="V364" s="120">
        <v>11969.75</v>
      </c>
      <c r="W364" s="120">
        <v>1129.8</v>
      </c>
      <c r="X364" s="120" t="s">
        <v>207</v>
      </c>
      <c r="Y364" s="120">
        <v>1520.39</v>
      </c>
      <c r="Z364" s="120" t="s">
        <v>207</v>
      </c>
      <c r="AA364" s="120">
        <v>917.35</v>
      </c>
      <c r="AB364" s="120" t="s">
        <v>207</v>
      </c>
      <c r="AC364" s="120">
        <v>438.23</v>
      </c>
      <c r="AD364" s="120" t="s">
        <v>207</v>
      </c>
      <c r="AE364" s="120">
        <v>149.6</v>
      </c>
      <c r="AF364" s="120" t="s">
        <v>207</v>
      </c>
      <c r="AG364" s="120">
        <v>139.75</v>
      </c>
      <c r="AH364" s="120" t="s">
        <v>207</v>
      </c>
      <c r="AI364" s="120">
        <v>141.19999999999999</v>
      </c>
      <c r="AJ364" s="118" t="s">
        <v>207</v>
      </c>
      <c r="AK364" s="120">
        <v>198.7</v>
      </c>
      <c r="AL364" s="118" t="s">
        <v>207</v>
      </c>
      <c r="AM364" s="120">
        <v>891.3</v>
      </c>
      <c r="AN364" s="118" t="s">
        <v>207</v>
      </c>
      <c r="AO364" s="120">
        <v>987.25</v>
      </c>
      <c r="AP364" s="120" t="s">
        <v>207</v>
      </c>
      <c r="AQ364" s="120">
        <v>1172.56</v>
      </c>
      <c r="AR364" s="120" t="s">
        <v>207</v>
      </c>
      <c r="AS364" s="120">
        <v>9166.69</v>
      </c>
      <c r="AT364" s="120" t="s">
        <v>207</v>
      </c>
      <c r="AU364" s="118">
        <f t="shared" si="26"/>
        <v>16852.82</v>
      </c>
      <c r="AV364" s="88"/>
      <c r="AW364" s="88"/>
      <c r="AX364" s="88"/>
      <c r="AY364" s="88"/>
      <c r="AZ364" s="88"/>
    </row>
    <row r="365" spans="1:52" s="90" customFormat="1" ht="15" customHeight="1" x14ac:dyDescent="0.3">
      <c r="A365" s="114">
        <v>354</v>
      </c>
      <c r="B365" s="174" t="s">
        <v>1046</v>
      </c>
      <c r="C365" s="120" t="s">
        <v>804</v>
      </c>
      <c r="D365" s="88"/>
      <c r="E365" s="88"/>
      <c r="F365" s="120" t="s">
        <v>958</v>
      </c>
      <c r="G365" s="25" t="s">
        <v>145</v>
      </c>
      <c r="H365" s="85" t="s">
        <v>146</v>
      </c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116">
        <v>5668.82</v>
      </c>
      <c r="V365" s="120">
        <f>90.36+6580.72</f>
        <v>6671.08</v>
      </c>
      <c r="W365" s="120">
        <v>438.08</v>
      </c>
      <c r="X365" s="120" t="s">
        <v>207</v>
      </c>
      <c r="Y365" s="120">
        <v>439.2</v>
      </c>
      <c r="Z365" s="120" t="s">
        <v>207</v>
      </c>
      <c r="AA365" s="120">
        <v>437.42</v>
      </c>
      <c r="AB365" s="120" t="s">
        <v>207</v>
      </c>
      <c r="AC365" s="120">
        <v>40.659999999999997</v>
      </c>
      <c r="AD365" s="120" t="s">
        <v>207</v>
      </c>
      <c r="AE365" s="120">
        <v>168.86</v>
      </c>
      <c r="AF365" s="120" t="s">
        <v>207</v>
      </c>
      <c r="AG365" s="120">
        <v>73.13</v>
      </c>
      <c r="AH365" s="120" t="s">
        <v>207</v>
      </c>
      <c r="AI365" s="120">
        <v>72.33</v>
      </c>
      <c r="AJ365" s="118" t="s">
        <v>207</v>
      </c>
      <c r="AK365" s="120">
        <v>60.53</v>
      </c>
      <c r="AL365" s="118" t="s">
        <v>207</v>
      </c>
      <c r="AM365" s="120">
        <v>88.64</v>
      </c>
      <c r="AN365" s="118" t="s">
        <v>207</v>
      </c>
      <c r="AO365" s="120">
        <v>359.79</v>
      </c>
      <c r="AP365" s="120" t="s">
        <v>207</v>
      </c>
      <c r="AQ365" s="120">
        <v>484.85</v>
      </c>
      <c r="AR365" s="120" t="s">
        <v>207</v>
      </c>
      <c r="AS365" s="120">
        <v>538.45000000000005</v>
      </c>
      <c r="AT365" s="120" t="s">
        <v>207</v>
      </c>
      <c r="AU365" s="118">
        <f t="shared" si="26"/>
        <v>3201.9400000000005</v>
      </c>
      <c r="AV365" s="88"/>
      <c r="AW365" s="88"/>
      <c r="AX365" s="88"/>
      <c r="AY365" s="88"/>
      <c r="AZ365" s="88"/>
    </row>
    <row r="366" spans="1:52" s="90" customFormat="1" ht="15" customHeight="1" x14ac:dyDescent="0.3">
      <c r="A366" s="114">
        <v>355</v>
      </c>
      <c r="B366" s="174" t="s">
        <v>1047</v>
      </c>
      <c r="C366" s="120" t="s">
        <v>804</v>
      </c>
      <c r="D366" s="88"/>
      <c r="E366" s="88"/>
      <c r="F366" s="120" t="s">
        <v>958</v>
      </c>
      <c r="G366" s="25" t="s">
        <v>145</v>
      </c>
      <c r="H366" s="85" t="s">
        <v>146</v>
      </c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116">
        <v>3111.73</v>
      </c>
      <c r="V366" s="120">
        <v>3216.94</v>
      </c>
      <c r="W366" s="120">
        <v>474.53</v>
      </c>
      <c r="X366" s="120" t="s">
        <v>207</v>
      </c>
      <c r="Y366" s="120">
        <v>395.44</v>
      </c>
      <c r="Z366" s="120" t="s">
        <v>207</v>
      </c>
      <c r="AA366" s="120">
        <v>355.19</v>
      </c>
      <c r="AB366" s="120" t="s">
        <v>207</v>
      </c>
      <c r="AC366" s="120">
        <v>70.97</v>
      </c>
      <c r="AD366" s="120" t="s">
        <v>207</v>
      </c>
      <c r="AE366" s="120">
        <v>63.38</v>
      </c>
      <c r="AF366" s="120" t="s">
        <v>207</v>
      </c>
      <c r="AG366" s="120">
        <v>61.68</v>
      </c>
      <c r="AH366" s="120" t="s">
        <v>207</v>
      </c>
      <c r="AI366" s="120">
        <v>60.28</v>
      </c>
      <c r="AJ366" s="118" t="s">
        <v>207</v>
      </c>
      <c r="AK366" s="120">
        <v>168.78</v>
      </c>
      <c r="AL366" s="118" t="s">
        <v>207</v>
      </c>
      <c r="AM366" s="120">
        <v>489.47</v>
      </c>
      <c r="AN366" s="118" t="s">
        <v>207</v>
      </c>
      <c r="AO366" s="120">
        <v>440.53</v>
      </c>
      <c r="AP366" s="120" t="s">
        <v>207</v>
      </c>
      <c r="AQ366" s="120">
        <v>396.47</v>
      </c>
      <c r="AR366" s="120" t="s">
        <v>207</v>
      </c>
      <c r="AS366" s="120">
        <v>555.05999999999995</v>
      </c>
      <c r="AT366" s="120" t="s">
        <v>207</v>
      </c>
      <c r="AU366" s="118">
        <f t="shared" si="26"/>
        <v>3531.78</v>
      </c>
      <c r="AV366" s="88"/>
      <c r="AW366" s="88"/>
      <c r="AX366" s="88"/>
      <c r="AY366" s="88"/>
      <c r="AZ366" s="88"/>
    </row>
    <row r="367" spans="1:52" s="90" customFormat="1" ht="15" customHeight="1" x14ac:dyDescent="0.3">
      <c r="A367" s="114">
        <v>356</v>
      </c>
      <c r="B367" s="174" t="s">
        <v>1048</v>
      </c>
      <c r="C367" s="120" t="s">
        <v>804</v>
      </c>
      <c r="D367" s="88"/>
      <c r="E367" s="88"/>
      <c r="F367" s="120" t="s">
        <v>958</v>
      </c>
      <c r="G367" s="25" t="s">
        <v>145</v>
      </c>
      <c r="H367" s="85" t="s">
        <v>146</v>
      </c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116">
        <v>2985.47</v>
      </c>
      <c r="V367" s="120">
        <v>3100.96</v>
      </c>
      <c r="W367" s="120">
        <v>421</v>
      </c>
      <c r="X367" s="120" t="s">
        <v>207</v>
      </c>
      <c r="Y367" s="120">
        <v>351.15</v>
      </c>
      <c r="Z367" s="120" t="s">
        <v>207</v>
      </c>
      <c r="AA367" s="120">
        <v>310.89999999999998</v>
      </c>
      <c r="AB367" s="120" t="s">
        <v>207</v>
      </c>
      <c r="AC367" s="120">
        <v>70.819999999999993</v>
      </c>
      <c r="AD367" s="120" t="s">
        <v>207</v>
      </c>
      <c r="AE367" s="120">
        <v>61.74</v>
      </c>
      <c r="AF367" s="120" t="s">
        <v>207</v>
      </c>
      <c r="AG367" s="120">
        <v>60.04</v>
      </c>
      <c r="AH367" s="120" t="s">
        <v>207</v>
      </c>
      <c r="AI367" s="120">
        <v>58.64</v>
      </c>
      <c r="AJ367" s="118" t="s">
        <v>207</v>
      </c>
      <c r="AK367" s="120">
        <v>164.19</v>
      </c>
      <c r="AL367" s="118" t="s">
        <v>207</v>
      </c>
      <c r="AM367" s="120">
        <v>476.16</v>
      </c>
      <c r="AN367" s="118" t="s">
        <v>207</v>
      </c>
      <c r="AO367" s="120">
        <v>428.54</v>
      </c>
      <c r="AP367" s="120" t="s">
        <v>207</v>
      </c>
      <c r="AQ367" s="120">
        <v>385.69</v>
      </c>
      <c r="AR367" s="120" t="s">
        <v>207</v>
      </c>
      <c r="AS367" s="120">
        <v>539.96</v>
      </c>
      <c r="AT367" s="120" t="s">
        <v>207</v>
      </c>
      <c r="AU367" s="118">
        <f t="shared" si="26"/>
        <v>3328.8300000000004</v>
      </c>
      <c r="AV367" s="88"/>
      <c r="AW367" s="88"/>
      <c r="AX367" s="88"/>
      <c r="AY367" s="88"/>
      <c r="AZ367" s="88"/>
    </row>
    <row r="368" spans="1:52" s="90" customFormat="1" ht="15" customHeight="1" x14ac:dyDescent="0.3">
      <c r="A368" s="114">
        <v>357</v>
      </c>
      <c r="B368" s="174" t="s">
        <v>1049</v>
      </c>
      <c r="C368" s="120" t="s">
        <v>804</v>
      </c>
      <c r="D368" s="88"/>
      <c r="E368" s="88"/>
      <c r="F368" s="120" t="s">
        <v>958</v>
      </c>
      <c r="G368" s="25" t="s">
        <v>145</v>
      </c>
      <c r="H368" s="85" t="s">
        <v>146</v>
      </c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116">
        <v>3578.91</v>
      </c>
      <c r="V368" s="120">
        <v>4341.3500000000004</v>
      </c>
      <c r="W368" s="120">
        <v>460.4</v>
      </c>
      <c r="X368" s="120" t="s">
        <v>207</v>
      </c>
      <c r="Y368" s="120">
        <v>458.96</v>
      </c>
      <c r="Z368" s="120" t="s">
        <v>207</v>
      </c>
      <c r="AA368" s="120">
        <v>457.53</v>
      </c>
      <c r="AB368" s="120" t="s">
        <v>207</v>
      </c>
      <c r="AC368" s="120">
        <v>256.70999999999998</v>
      </c>
      <c r="AD368" s="120" t="s">
        <v>207</v>
      </c>
      <c r="AE368" s="120">
        <v>163.12</v>
      </c>
      <c r="AF368" s="120" t="s">
        <v>207</v>
      </c>
      <c r="AG368" s="120">
        <v>159.80000000000001</v>
      </c>
      <c r="AH368" s="120" t="s">
        <v>207</v>
      </c>
      <c r="AI368" s="120">
        <v>152.97999999999999</v>
      </c>
      <c r="AJ368" s="118" t="s">
        <v>207</v>
      </c>
      <c r="AK368" s="120">
        <v>170.96</v>
      </c>
      <c r="AL368" s="118" t="s">
        <v>207</v>
      </c>
      <c r="AM368" s="120">
        <v>390.06</v>
      </c>
      <c r="AN368" s="118" t="s">
        <v>207</v>
      </c>
      <c r="AO368" s="120">
        <v>427.18</v>
      </c>
      <c r="AP368" s="120" t="s">
        <v>207</v>
      </c>
      <c r="AQ368" s="120">
        <v>539.01</v>
      </c>
      <c r="AR368" s="120" t="s">
        <v>207</v>
      </c>
      <c r="AS368" s="120">
        <v>4094.83</v>
      </c>
      <c r="AT368" s="120" t="s">
        <v>207</v>
      </c>
      <c r="AU368" s="118">
        <f t="shared" si="26"/>
        <v>7731.5399999999991</v>
      </c>
      <c r="AV368" s="88"/>
      <c r="AW368" s="88"/>
      <c r="AX368" s="88"/>
      <c r="AY368" s="88"/>
      <c r="AZ368" s="88"/>
    </row>
    <row r="369" spans="1:52" s="90" customFormat="1" ht="15" customHeight="1" x14ac:dyDescent="0.3">
      <c r="A369" s="114">
        <v>358</v>
      </c>
      <c r="B369" s="174" t="s">
        <v>1050</v>
      </c>
      <c r="C369" s="120" t="s">
        <v>804</v>
      </c>
      <c r="D369" s="88"/>
      <c r="E369" s="88"/>
      <c r="F369" s="120" t="s">
        <v>958</v>
      </c>
      <c r="G369" s="25" t="s">
        <v>145</v>
      </c>
      <c r="H369" s="85" t="s">
        <v>146</v>
      </c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116">
        <v>3198.07</v>
      </c>
      <c r="V369" s="120">
        <v>2635.36</v>
      </c>
      <c r="W369" s="120">
        <v>374.12</v>
      </c>
      <c r="X369" s="120" t="s">
        <v>207</v>
      </c>
      <c r="Y369" s="120">
        <v>372.5</v>
      </c>
      <c r="Z369" s="120" t="s">
        <v>207</v>
      </c>
      <c r="AA369" s="120">
        <v>233.91</v>
      </c>
      <c r="AB369" s="120" t="s">
        <v>207</v>
      </c>
      <c r="AC369" s="120">
        <v>102.54</v>
      </c>
      <c r="AD369" s="120" t="s">
        <v>207</v>
      </c>
      <c r="AE369" s="120">
        <v>141.12</v>
      </c>
      <c r="AF369" s="120" t="s">
        <v>207</v>
      </c>
      <c r="AG369" s="120">
        <v>136.04</v>
      </c>
      <c r="AH369" s="120" t="s">
        <v>207</v>
      </c>
      <c r="AI369" s="120">
        <v>141.24</v>
      </c>
      <c r="AJ369" s="118" t="s">
        <v>207</v>
      </c>
      <c r="AK369" s="120">
        <v>148.30000000000001</v>
      </c>
      <c r="AL369" s="118" t="s">
        <v>207</v>
      </c>
      <c r="AM369" s="120">
        <v>177.53</v>
      </c>
      <c r="AN369" s="118" t="s">
        <v>207</v>
      </c>
      <c r="AO369" s="120">
        <v>288.06</v>
      </c>
      <c r="AP369" s="120" t="s">
        <v>207</v>
      </c>
      <c r="AQ369" s="120">
        <v>270.44</v>
      </c>
      <c r="AR369" s="120" t="s">
        <v>207</v>
      </c>
      <c r="AS369" s="120">
        <v>2743.32</v>
      </c>
      <c r="AT369" s="120" t="s">
        <v>207</v>
      </c>
      <c r="AU369" s="118">
        <f t="shared" si="26"/>
        <v>5129.1200000000008</v>
      </c>
      <c r="AV369" s="88"/>
      <c r="AW369" s="88"/>
      <c r="AX369" s="88"/>
      <c r="AY369" s="88"/>
      <c r="AZ369" s="88"/>
    </row>
    <row r="370" spans="1:52" s="90" customFormat="1" ht="15" customHeight="1" x14ac:dyDescent="0.3">
      <c r="A370" s="114">
        <v>359</v>
      </c>
      <c r="B370" s="174" t="s">
        <v>1051</v>
      </c>
      <c r="C370" s="120" t="s">
        <v>804</v>
      </c>
      <c r="D370" s="88"/>
      <c r="E370" s="88"/>
      <c r="F370" s="120" t="s">
        <v>958</v>
      </c>
      <c r="G370" s="25" t="s">
        <v>145</v>
      </c>
      <c r="H370" s="85" t="s">
        <v>146</v>
      </c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116">
        <v>2091.65</v>
      </c>
      <c r="V370" s="120">
        <v>2563.16</v>
      </c>
      <c r="W370" s="120">
        <v>360.02</v>
      </c>
      <c r="X370" s="120" t="s">
        <v>207</v>
      </c>
      <c r="Y370" s="120">
        <v>348.54</v>
      </c>
      <c r="Z370" s="120" t="s">
        <v>207</v>
      </c>
      <c r="AA370" s="120">
        <v>206.14</v>
      </c>
      <c r="AB370" s="120" t="s">
        <v>207</v>
      </c>
      <c r="AC370" s="120">
        <v>99.56</v>
      </c>
      <c r="AD370" s="120" t="s">
        <v>207</v>
      </c>
      <c r="AE370" s="120">
        <v>140.08000000000001</v>
      </c>
      <c r="AF370" s="120" t="s">
        <v>207</v>
      </c>
      <c r="AG370" s="120">
        <v>128.13999999999999</v>
      </c>
      <c r="AH370" s="120" t="s">
        <v>207</v>
      </c>
      <c r="AI370" s="120">
        <v>136.08000000000001</v>
      </c>
      <c r="AJ370" s="118" t="s">
        <v>207</v>
      </c>
      <c r="AK370" s="120">
        <v>129.13999999999999</v>
      </c>
      <c r="AL370" s="118" t="s">
        <v>207</v>
      </c>
      <c r="AM370" s="120">
        <v>147.09</v>
      </c>
      <c r="AN370" s="118" t="s">
        <v>207</v>
      </c>
      <c r="AO370" s="120">
        <v>190.54</v>
      </c>
      <c r="AP370" s="120" t="s">
        <v>207</v>
      </c>
      <c r="AQ370" s="120">
        <v>208.44</v>
      </c>
      <c r="AR370" s="120" t="s">
        <v>207</v>
      </c>
      <c r="AS370" s="120">
        <v>2441.89</v>
      </c>
      <c r="AT370" s="120" t="s">
        <v>207</v>
      </c>
      <c r="AU370" s="118">
        <f t="shared" si="26"/>
        <v>4535.66</v>
      </c>
      <c r="AV370" s="88"/>
      <c r="AW370" s="88"/>
      <c r="AX370" s="88"/>
      <c r="AY370" s="88"/>
      <c r="AZ370" s="88"/>
    </row>
    <row r="371" spans="1:52" s="90" customFormat="1" ht="15" customHeight="1" x14ac:dyDescent="0.3">
      <c r="A371" s="114">
        <v>360</v>
      </c>
      <c r="B371" s="174" t="s">
        <v>1052</v>
      </c>
      <c r="C371" s="120" t="s">
        <v>804</v>
      </c>
      <c r="D371" s="88"/>
      <c r="E371" s="88"/>
      <c r="F371" s="120" t="s">
        <v>958</v>
      </c>
      <c r="G371" s="25" t="s">
        <v>145</v>
      </c>
      <c r="H371" s="85" t="s">
        <v>146</v>
      </c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116">
        <v>4894.0200000000004</v>
      </c>
      <c r="V371" s="120">
        <v>5883.97</v>
      </c>
      <c r="W371" s="120">
        <v>630.14</v>
      </c>
      <c r="X371" s="120" t="s">
        <v>207</v>
      </c>
      <c r="Y371" s="120">
        <v>810.62</v>
      </c>
      <c r="Z371" s="120" t="s">
        <v>207</v>
      </c>
      <c r="AA371" s="120">
        <v>510.24</v>
      </c>
      <c r="AB371" s="120" t="s">
        <v>207</v>
      </c>
      <c r="AC371" s="120">
        <v>199.12</v>
      </c>
      <c r="AD371" s="120" t="s">
        <v>207</v>
      </c>
      <c r="AE371" s="120">
        <v>106.23</v>
      </c>
      <c r="AF371" s="120" t="s">
        <v>207</v>
      </c>
      <c r="AG371" s="120">
        <v>117.54</v>
      </c>
      <c r="AH371" s="120" t="s">
        <v>207</v>
      </c>
      <c r="AI371" s="120">
        <v>106.24</v>
      </c>
      <c r="AJ371" s="118" t="s">
        <v>207</v>
      </c>
      <c r="AK371" s="120">
        <v>109.3</v>
      </c>
      <c r="AL371" s="118" t="s">
        <v>207</v>
      </c>
      <c r="AM371" s="120">
        <v>530.67999999999995</v>
      </c>
      <c r="AN371" s="118" t="s">
        <v>207</v>
      </c>
      <c r="AO371" s="120">
        <v>509.33</v>
      </c>
      <c r="AP371" s="120" t="s">
        <v>207</v>
      </c>
      <c r="AQ371" s="120">
        <v>622.04999999999995</v>
      </c>
      <c r="AR371" s="120" t="s">
        <v>207</v>
      </c>
      <c r="AS371" s="120">
        <v>5089.33</v>
      </c>
      <c r="AT371" s="120" t="s">
        <v>207</v>
      </c>
      <c r="AU371" s="118">
        <f t="shared" si="26"/>
        <v>9340.82</v>
      </c>
      <c r="AV371" s="88"/>
      <c r="AW371" s="88"/>
      <c r="AX371" s="88"/>
      <c r="AY371" s="88"/>
      <c r="AZ371" s="88"/>
    </row>
    <row r="372" spans="1:52" s="90" customFormat="1" ht="15" customHeight="1" x14ac:dyDescent="0.3">
      <c r="A372" s="114">
        <v>361</v>
      </c>
      <c r="B372" s="174" t="s">
        <v>1053</v>
      </c>
      <c r="C372" s="120" t="s">
        <v>804</v>
      </c>
      <c r="D372" s="88"/>
      <c r="E372" s="88"/>
      <c r="F372" s="120" t="s">
        <v>958</v>
      </c>
      <c r="G372" s="25" t="s">
        <v>145</v>
      </c>
      <c r="H372" s="85" t="s">
        <v>146</v>
      </c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116">
        <v>3585.42</v>
      </c>
      <c r="V372" s="120">
        <v>4429.87</v>
      </c>
      <c r="W372" s="120">
        <v>563.02</v>
      </c>
      <c r="X372" s="120" t="s">
        <v>207</v>
      </c>
      <c r="Y372" s="120">
        <v>541.89</v>
      </c>
      <c r="Z372" s="120" t="s">
        <v>207</v>
      </c>
      <c r="AA372" s="120">
        <v>492.18</v>
      </c>
      <c r="AB372" s="120" t="s">
        <v>207</v>
      </c>
      <c r="AC372" s="120">
        <v>268.08999999999997</v>
      </c>
      <c r="AD372" s="120" t="s">
        <v>207</v>
      </c>
      <c r="AE372" s="120">
        <v>173.41</v>
      </c>
      <c r="AF372" s="120" t="s">
        <v>207</v>
      </c>
      <c r="AG372" s="120">
        <v>149.5</v>
      </c>
      <c r="AH372" s="120" t="s">
        <v>207</v>
      </c>
      <c r="AI372" s="120">
        <v>151.80000000000001</v>
      </c>
      <c r="AJ372" s="118" t="s">
        <v>207</v>
      </c>
      <c r="AK372" s="120">
        <v>154.22999999999999</v>
      </c>
      <c r="AL372" s="118" t="s">
        <v>207</v>
      </c>
      <c r="AM372" s="120">
        <v>284.54000000000002</v>
      </c>
      <c r="AN372" s="118" t="s">
        <v>207</v>
      </c>
      <c r="AO372" s="120">
        <v>382.6</v>
      </c>
      <c r="AP372" s="120" t="s">
        <v>207</v>
      </c>
      <c r="AQ372" s="120">
        <v>458.2</v>
      </c>
      <c r="AR372" s="120" t="s">
        <v>207</v>
      </c>
      <c r="AS372" s="120">
        <v>4256.58</v>
      </c>
      <c r="AT372" s="120" t="s">
        <v>207</v>
      </c>
      <c r="AU372" s="118">
        <f t="shared" si="26"/>
        <v>7876.04</v>
      </c>
      <c r="AV372" s="88"/>
      <c r="AW372" s="88"/>
      <c r="AX372" s="88"/>
      <c r="AY372" s="88"/>
      <c r="AZ372" s="88"/>
    </row>
    <row r="373" spans="1:52" s="90" customFormat="1" ht="15" customHeight="1" x14ac:dyDescent="0.3">
      <c r="A373" s="114">
        <v>362</v>
      </c>
      <c r="B373" s="174" t="s">
        <v>1054</v>
      </c>
      <c r="C373" s="120" t="s">
        <v>804</v>
      </c>
      <c r="D373" s="88"/>
      <c r="E373" s="88"/>
      <c r="F373" s="120" t="s">
        <v>958</v>
      </c>
      <c r="G373" s="25" t="s">
        <v>145</v>
      </c>
      <c r="H373" s="85" t="s">
        <v>146</v>
      </c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116">
        <v>2174.2399999999998</v>
      </c>
      <c r="V373" s="120">
        <v>2673.14</v>
      </c>
      <c r="W373" s="120">
        <v>256.58</v>
      </c>
      <c r="X373" s="120" t="s">
        <v>207</v>
      </c>
      <c r="Y373" s="120">
        <v>328.45</v>
      </c>
      <c r="Z373" s="120" t="s">
        <v>207</v>
      </c>
      <c r="AA373" s="120">
        <v>222.29</v>
      </c>
      <c r="AB373" s="120" t="s">
        <v>207</v>
      </c>
      <c r="AC373" s="120">
        <v>98.52</v>
      </c>
      <c r="AD373" s="120" t="s">
        <v>207</v>
      </c>
      <c r="AE373" s="120">
        <v>69.12</v>
      </c>
      <c r="AF373" s="120" t="s">
        <v>207</v>
      </c>
      <c r="AG373" s="120">
        <v>61.62</v>
      </c>
      <c r="AH373" s="120" t="s">
        <v>207</v>
      </c>
      <c r="AI373" s="120">
        <v>62.78</v>
      </c>
      <c r="AJ373" s="118" t="s">
        <v>207</v>
      </c>
      <c r="AK373" s="120">
        <v>64.13</v>
      </c>
      <c r="AL373" s="118" t="s">
        <v>207</v>
      </c>
      <c r="AM373" s="120">
        <v>180.23</v>
      </c>
      <c r="AN373" s="118" t="s">
        <v>207</v>
      </c>
      <c r="AO373" s="120">
        <v>229.65</v>
      </c>
      <c r="AP373" s="120" t="s">
        <v>207</v>
      </c>
      <c r="AQ373" s="120">
        <v>275.25</v>
      </c>
      <c r="AR373" s="120" t="s">
        <v>207</v>
      </c>
      <c r="AS373" s="120">
        <v>2181.9299999999998</v>
      </c>
      <c r="AT373" s="120" t="s">
        <v>207</v>
      </c>
      <c r="AU373" s="118">
        <f t="shared" si="26"/>
        <v>4030.5499999999997</v>
      </c>
      <c r="AV373" s="88"/>
      <c r="AW373" s="88"/>
      <c r="AX373" s="88"/>
      <c r="AY373" s="88"/>
      <c r="AZ373" s="88"/>
    </row>
    <row r="374" spans="1:52" s="90" customFormat="1" ht="15" customHeight="1" x14ac:dyDescent="0.3">
      <c r="A374" s="114">
        <v>363</v>
      </c>
      <c r="B374" s="174" t="s">
        <v>1055</v>
      </c>
      <c r="C374" s="120" t="s">
        <v>804</v>
      </c>
      <c r="D374" s="88"/>
      <c r="E374" s="88"/>
      <c r="F374" s="120" t="s">
        <v>958</v>
      </c>
      <c r="G374" s="25" t="s">
        <v>145</v>
      </c>
      <c r="H374" s="85" t="s">
        <v>146</v>
      </c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116">
        <v>8757.9500000000007</v>
      </c>
      <c r="V374" s="120">
        <v>13809.47</v>
      </c>
      <c r="W374" s="120">
        <v>772.89</v>
      </c>
      <c r="X374" s="120" t="s">
        <v>207</v>
      </c>
      <c r="Y374" s="120">
        <v>772.46</v>
      </c>
      <c r="Z374" s="120" t="s">
        <v>207</v>
      </c>
      <c r="AA374" s="120">
        <v>729.65</v>
      </c>
      <c r="AB374" s="120" t="s">
        <v>207</v>
      </c>
      <c r="AC374" s="120">
        <v>242.41</v>
      </c>
      <c r="AD374" s="120" t="s">
        <v>207</v>
      </c>
      <c r="AE374" s="120">
        <v>234.79</v>
      </c>
      <c r="AF374" s="120" t="s">
        <v>207</v>
      </c>
      <c r="AG374" s="120">
        <v>157.06</v>
      </c>
      <c r="AH374" s="120" t="s">
        <v>207</v>
      </c>
      <c r="AI374" s="120">
        <v>156.54</v>
      </c>
      <c r="AJ374" s="118" t="s">
        <v>207</v>
      </c>
      <c r="AK374" s="120">
        <v>704.84</v>
      </c>
      <c r="AL374" s="118" t="s">
        <v>207</v>
      </c>
      <c r="AM374" s="120">
        <v>737.91</v>
      </c>
      <c r="AN374" s="118" t="s">
        <v>207</v>
      </c>
      <c r="AO374" s="120">
        <v>925.83</v>
      </c>
      <c r="AP374" s="120" t="s">
        <v>207</v>
      </c>
      <c r="AQ374" s="120">
        <v>905.13</v>
      </c>
      <c r="AR374" s="120" t="s">
        <v>207</v>
      </c>
      <c r="AS374" s="120">
        <v>7102.0999999999995</v>
      </c>
      <c r="AT374" s="120" t="s">
        <v>207</v>
      </c>
      <c r="AU374" s="118">
        <f t="shared" si="26"/>
        <v>13441.61</v>
      </c>
      <c r="AV374" s="88"/>
      <c r="AW374" s="88"/>
      <c r="AX374" s="88"/>
      <c r="AY374" s="88"/>
      <c r="AZ374" s="88"/>
    </row>
    <row r="375" spans="1:52" s="90" customFormat="1" ht="15" customHeight="1" x14ac:dyDescent="0.3">
      <c r="A375" s="114">
        <v>364</v>
      </c>
      <c r="B375" s="174" t="s">
        <v>1056</v>
      </c>
      <c r="C375" s="120" t="s">
        <v>804</v>
      </c>
      <c r="D375" s="88"/>
      <c r="E375" s="88"/>
      <c r="F375" s="120" t="s">
        <v>958</v>
      </c>
      <c r="G375" s="25" t="s">
        <v>145</v>
      </c>
      <c r="H375" s="85" t="s">
        <v>146</v>
      </c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116">
        <v>4428.63</v>
      </c>
      <c r="V375" s="120">
        <v>5219.92</v>
      </c>
      <c r="W375" s="120">
        <v>246.45</v>
      </c>
      <c r="X375" s="120" t="s">
        <v>207</v>
      </c>
      <c r="Y375" s="120">
        <v>349.12</v>
      </c>
      <c r="Z375" s="120" t="s">
        <v>207</v>
      </c>
      <c r="AA375" s="120">
        <v>252.01</v>
      </c>
      <c r="AB375" s="120" t="s">
        <v>207</v>
      </c>
      <c r="AC375" s="120">
        <v>324.12</v>
      </c>
      <c r="AD375" s="120" t="s">
        <v>207</v>
      </c>
      <c r="AE375" s="120">
        <v>105.93</v>
      </c>
      <c r="AF375" s="120" t="s">
        <v>207</v>
      </c>
      <c r="AG375" s="120">
        <v>111.56</v>
      </c>
      <c r="AH375" s="120" t="s">
        <v>207</v>
      </c>
      <c r="AI375" s="120">
        <v>28.12</v>
      </c>
      <c r="AJ375" s="118" t="s">
        <v>207</v>
      </c>
      <c r="AK375" s="120">
        <v>82.72</v>
      </c>
      <c r="AL375" s="118" t="s">
        <v>207</v>
      </c>
      <c r="AM375" s="120">
        <v>341.8</v>
      </c>
      <c r="AN375" s="118" t="s">
        <v>207</v>
      </c>
      <c r="AO375" s="120">
        <v>328.44</v>
      </c>
      <c r="AP375" s="120" t="s">
        <v>207</v>
      </c>
      <c r="AQ375" s="120">
        <v>416.23</v>
      </c>
      <c r="AR375" s="120" t="s">
        <v>207</v>
      </c>
      <c r="AS375" s="120">
        <v>6051.73</v>
      </c>
      <c r="AT375" s="120" t="s">
        <v>207</v>
      </c>
      <c r="AU375" s="118">
        <f t="shared" si="26"/>
        <v>8638.23</v>
      </c>
      <c r="AV375" s="88"/>
      <c r="AW375" s="88"/>
      <c r="AX375" s="88"/>
      <c r="AY375" s="88"/>
      <c r="AZ375" s="88"/>
    </row>
    <row r="376" spans="1:52" s="90" customFormat="1" ht="15" customHeight="1" x14ac:dyDescent="0.3">
      <c r="A376" s="114">
        <v>365</v>
      </c>
      <c r="B376" s="174" t="s">
        <v>1057</v>
      </c>
      <c r="C376" s="120" t="s">
        <v>804</v>
      </c>
      <c r="D376" s="88"/>
      <c r="E376" s="88"/>
      <c r="F376" s="120" t="s">
        <v>958</v>
      </c>
      <c r="G376" s="25" t="s">
        <v>145</v>
      </c>
      <c r="H376" s="85" t="s">
        <v>146</v>
      </c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116">
        <v>775.44</v>
      </c>
      <c r="V376" s="120">
        <v>930.02</v>
      </c>
      <c r="W376" s="120">
        <v>105.78</v>
      </c>
      <c r="X376" s="120" t="s">
        <v>207</v>
      </c>
      <c r="Y376" s="120">
        <v>85.37</v>
      </c>
      <c r="Z376" s="120" t="s">
        <v>207</v>
      </c>
      <c r="AA376" s="120">
        <v>104.67</v>
      </c>
      <c r="AB376" s="120" t="s">
        <v>207</v>
      </c>
      <c r="AC376" s="120">
        <v>66.709999999999994</v>
      </c>
      <c r="AD376" s="120" t="s">
        <v>207</v>
      </c>
      <c r="AE376" s="120">
        <v>28.22</v>
      </c>
      <c r="AF376" s="120" t="s">
        <v>207</v>
      </c>
      <c r="AG376" s="120">
        <v>18.239999999999998</v>
      </c>
      <c r="AH376" s="120" t="s">
        <v>207</v>
      </c>
      <c r="AI376" s="120">
        <v>19.36</v>
      </c>
      <c r="AJ376" s="118" t="s">
        <v>207</v>
      </c>
      <c r="AK376" s="120">
        <v>15.65</v>
      </c>
      <c r="AL376" s="118" t="s">
        <v>207</v>
      </c>
      <c r="AM376" s="120">
        <v>17.02</v>
      </c>
      <c r="AN376" s="118" t="s">
        <v>207</v>
      </c>
      <c r="AO376" s="120">
        <v>70.78</v>
      </c>
      <c r="AP376" s="120" t="s">
        <v>207</v>
      </c>
      <c r="AQ376" s="120">
        <v>71.44</v>
      </c>
      <c r="AR376" s="120" t="s">
        <v>207</v>
      </c>
      <c r="AS376" s="120">
        <v>89.02</v>
      </c>
      <c r="AT376" s="120" t="s">
        <v>207</v>
      </c>
      <c r="AU376" s="118">
        <f t="shared" si="26"/>
        <v>692.26</v>
      </c>
      <c r="AV376" s="88"/>
      <c r="AW376" s="88"/>
      <c r="AX376" s="88"/>
      <c r="AY376" s="88"/>
      <c r="AZ376" s="88"/>
    </row>
    <row r="377" spans="1:52" s="90" customFormat="1" ht="15" customHeight="1" x14ac:dyDescent="0.3">
      <c r="A377" s="114">
        <v>366</v>
      </c>
      <c r="B377" s="174" t="s">
        <v>1058</v>
      </c>
      <c r="C377" s="120" t="s">
        <v>804</v>
      </c>
      <c r="D377" s="88"/>
      <c r="E377" s="88"/>
      <c r="F377" s="120" t="s">
        <v>958</v>
      </c>
      <c r="G377" s="25" t="s">
        <v>145</v>
      </c>
      <c r="H377" s="85" t="s">
        <v>146</v>
      </c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116"/>
      <c r="V377" s="120"/>
      <c r="W377" s="120">
        <v>0</v>
      </c>
      <c r="X377" s="120" t="s">
        <v>207</v>
      </c>
      <c r="Y377" s="120">
        <v>0</v>
      </c>
      <c r="Z377" s="120" t="s">
        <v>207</v>
      </c>
      <c r="AA377" s="120">
        <v>0</v>
      </c>
      <c r="AB377" s="120" t="s">
        <v>207</v>
      </c>
      <c r="AC377" s="120">
        <v>0</v>
      </c>
      <c r="AD377" s="120" t="s">
        <v>207</v>
      </c>
      <c r="AE377" s="120">
        <v>910.93</v>
      </c>
      <c r="AF377" s="120" t="s">
        <v>207</v>
      </c>
      <c r="AG377" s="120">
        <v>24.48</v>
      </c>
      <c r="AH377" s="120" t="s">
        <v>207</v>
      </c>
      <c r="AI377" s="120">
        <v>25.54</v>
      </c>
      <c r="AJ377" s="118" t="s">
        <v>207</v>
      </c>
      <c r="AK377" s="120">
        <v>20.81</v>
      </c>
      <c r="AL377" s="118" t="s">
        <v>207</v>
      </c>
      <c r="AM377" s="120">
        <v>29.87</v>
      </c>
      <c r="AN377" s="118" t="s">
        <v>207</v>
      </c>
      <c r="AO377" s="120">
        <v>148.35</v>
      </c>
      <c r="AP377" s="120" t="s">
        <v>207</v>
      </c>
      <c r="AQ377" s="120">
        <v>143.41</v>
      </c>
      <c r="AR377" s="120" t="s">
        <v>207</v>
      </c>
      <c r="AS377" s="120">
        <v>186.88</v>
      </c>
      <c r="AT377" s="120" t="s">
        <v>207</v>
      </c>
      <c r="AU377" s="118">
        <f t="shared" si="26"/>
        <v>1490.27</v>
      </c>
      <c r="AV377" s="88"/>
      <c r="AW377" s="88"/>
      <c r="AX377" s="88"/>
      <c r="AY377" s="88"/>
      <c r="AZ377" s="88"/>
    </row>
    <row r="378" spans="1:52" s="90" customFormat="1" ht="15" customHeight="1" x14ac:dyDescent="0.3">
      <c r="A378" s="114">
        <v>367</v>
      </c>
      <c r="B378" s="174" t="s">
        <v>1059</v>
      </c>
      <c r="C378" s="120" t="s">
        <v>804</v>
      </c>
      <c r="D378" s="88"/>
      <c r="E378" s="88"/>
      <c r="F378" s="120" t="s">
        <v>958</v>
      </c>
      <c r="G378" s="25" t="s">
        <v>145</v>
      </c>
      <c r="H378" s="85" t="s">
        <v>146</v>
      </c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116"/>
      <c r="V378" s="120"/>
      <c r="W378" s="120">
        <v>0</v>
      </c>
      <c r="X378" s="120" t="s">
        <v>207</v>
      </c>
      <c r="Y378" s="120">
        <v>0</v>
      </c>
      <c r="Z378" s="120" t="s">
        <v>207</v>
      </c>
      <c r="AA378" s="120">
        <v>0</v>
      </c>
      <c r="AB378" s="120" t="s">
        <v>207</v>
      </c>
      <c r="AC378" s="120">
        <v>0</v>
      </c>
      <c r="AD378" s="120" t="s">
        <v>207</v>
      </c>
      <c r="AE378" s="120">
        <v>866.34</v>
      </c>
      <c r="AF378" s="120" t="s">
        <v>207</v>
      </c>
      <c r="AG378" s="120">
        <v>25.4</v>
      </c>
      <c r="AH378" s="120" t="s">
        <v>207</v>
      </c>
      <c r="AI378" s="120">
        <v>22.97</v>
      </c>
      <c r="AJ378" s="118" t="s">
        <v>207</v>
      </c>
      <c r="AK378" s="120">
        <v>22.17</v>
      </c>
      <c r="AL378" s="118" t="s">
        <v>207</v>
      </c>
      <c r="AM378" s="120">
        <v>33.090000000000003</v>
      </c>
      <c r="AN378" s="118" t="s">
        <v>207</v>
      </c>
      <c r="AO378" s="120">
        <v>147.83000000000001</v>
      </c>
      <c r="AP378" s="120" t="s">
        <v>207</v>
      </c>
      <c r="AQ378" s="120">
        <v>142.81</v>
      </c>
      <c r="AR378" s="120" t="s">
        <v>207</v>
      </c>
      <c r="AS378" s="120">
        <v>184.35</v>
      </c>
      <c r="AT378" s="120" t="s">
        <v>207</v>
      </c>
      <c r="AU378" s="118">
        <f t="shared" si="26"/>
        <v>1444.9599999999998</v>
      </c>
      <c r="AV378" s="88"/>
      <c r="AW378" s="88"/>
      <c r="AX378" s="88"/>
      <c r="AY378" s="88"/>
      <c r="AZ378" s="88"/>
    </row>
    <row r="379" spans="1:52" s="90" customFormat="1" ht="15" customHeight="1" x14ac:dyDescent="0.3">
      <c r="A379" s="114">
        <v>368</v>
      </c>
      <c r="B379" s="174" t="s">
        <v>1060</v>
      </c>
      <c r="C379" s="120" t="s">
        <v>804</v>
      </c>
      <c r="D379" s="88"/>
      <c r="E379" s="88"/>
      <c r="F379" s="120" t="s">
        <v>958</v>
      </c>
      <c r="G379" s="25" t="s">
        <v>145</v>
      </c>
      <c r="H379" s="85" t="s">
        <v>146</v>
      </c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116">
        <v>3214.21</v>
      </c>
      <c r="V379" s="120">
        <v>3564.85</v>
      </c>
      <c r="W379" s="120">
        <v>187.01</v>
      </c>
      <c r="X379" s="120" t="s">
        <v>207</v>
      </c>
      <c r="Y379" s="120">
        <v>15.84</v>
      </c>
      <c r="Z379" s="120" t="s">
        <v>207</v>
      </c>
      <c r="AA379" s="120">
        <v>115.59</v>
      </c>
      <c r="AB379" s="120" t="s">
        <v>207</v>
      </c>
      <c r="AC379" s="120">
        <v>100.97</v>
      </c>
      <c r="AD379" s="120" t="s">
        <v>207</v>
      </c>
      <c r="AE379" s="120">
        <v>92.57</v>
      </c>
      <c r="AF379" s="120" t="s">
        <v>207</v>
      </c>
      <c r="AG379" s="120">
        <v>90.87</v>
      </c>
      <c r="AH379" s="120" t="s">
        <v>207</v>
      </c>
      <c r="AI379" s="120">
        <v>89.47</v>
      </c>
      <c r="AJ379" s="118" t="s">
        <v>207</v>
      </c>
      <c r="AK379" s="120">
        <v>250.52</v>
      </c>
      <c r="AL379" s="118" t="s">
        <v>207</v>
      </c>
      <c r="AM379" s="120">
        <v>726.5</v>
      </c>
      <c r="AN379" s="118" t="s">
        <v>207</v>
      </c>
      <c r="AO379" s="120">
        <v>653.85</v>
      </c>
      <c r="AP379" s="120" t="s">
        <v>207</v>
      </c>
      <c r="AQ379" s="120">
        <v>588.46</v>
      </c>
      <c r="AR379" s="120" t="s">
        <v>207</v>
      </c>
      <c r="AS379" s="120">
        <v>823.85</v>
      </c>
      <c r="AT379" s="120" t="s">
        <v>207</v>
      </c>
      <c r="AU379" s="118">
        <f t="shared" si="26"/>
        <v>3735.5</v>
      </c>
      <c r="AV379" s="88"/>
      <c r="AW379" s="88"/>
      <c r="AX379" s="88"/>
      <c r="AY379" s="88"/>
      <c r="AZ379" s="88"/>
    </row>
    <row r="380" spans="1:52" s="90" customFormat="1" ht="15" customHeight="1" x14ac:dyDescent="0.3">
      <c r="A380" s="114">
        <v>369</v>
      </c>
      <c r="B380" s="174" t="s">
        <v>1061</v>
      </c>
      <c r="C380" s="120" t="s">
        <v>804</v>
      </c>
      <c r="D380" s="88"/>
      <c r="E380" s="88"/>
      <c r="F380" s="120" t="s">
        <v>958</v>
      </c>
      <c r="G380" s="25" t="s">
        <v>145</v>
      </c>
      <c r="H380" s="85" t="s">
        <v>146</v>
      </c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116">
        <v>1105.53</v>
      </c>
      <c r="V380" s="120">
        <v>1146.3900000000001</v>
      </c>
      <c r="W380" s="120">
        <v>169.24</v>
      </c>
      <c r="X380" s="120" t="s">
        <v>207</v>
      </c>
      <c r="Y380" s="120">
        <v>141.03</v>
      </c>
      <c r="Z380" s="120" t="s">
        <v>207</v>
      </c>
      <c r="AA380" s="120">
        <v>100.78</v>
      </c>
      <c r="AB380" s="120" t="s">
        <v>207</v>
      </c>
      <c r="AC380" s="120">
        <v>27.89</v>
      </c>
      <c r="AD380" s="120" t="s">
        <v>207</v>
      </c>
      <c r="AE380" s="120">
        <v>21.52</v>
      </c>
      <c r="AF380" s="120" t="s">
        <v>207</v>
      </c>
      <c r="AG380" s="120">
        <v>22.76</v>
      </c>
      <c r="AH380" s="120" t="s">
        <v>207</v>
      </c>
      <c r="AI380" s="120">
        <v>21.36</v>
      </c>
      <c r="AJ380" s="118" t="s">
        <v>207</v>
      </c>
      <c r="AK380" s="120">
        <v>57.92</v>
      </c>
      <c r="AL380" s="118" t="s">
        <v>207</v>
      </c>
      <c r="AM380" s="120">
        <v>167.97</v>
      </c>
      <c r="AN380" s="118" t="s">
        <v>207</v>
      </c>
      <c r="AO380" s="120">
        <v>151.16999999999999</v>
      </c>
      <c r="AP380" s="120" t="s">
        <v>207</v>
      </c>
      <c r="AQ380" s="120">
        <v>136.05000000000001</v>
      </c>
      <c r="AR380" s="120" t="s">
        <v>207</v>
      </c>
      <c r="AS380" s="120">
        <v>190.48</v>
      </c>
      <c r="AT380" s="120" t="s">
        <v>207</v>
      </c>
      <c r="AU380" s="118">
        <v>1208.1699999999998</v>
      </c>
      <c r="AV380" s="88"/>
      <c r="AW380" s="88"/>
      <c r="AX380" s="88"/>
      <c r="AY380" s="88"/>
      <c r="AZ380" s="88"/>
    </row>
    <row r="381" spans="1:52" s="90" customFormat="1" ht="15" customHeight="1" x14ac:dyDescent="0.3">
      <c r="A381" s="114">
        <v>370</v>
      </c>
      <c r="B381" s="174" t="s">
        <v>1062</v>
      </c>
      <c r="C381" s="120" t="s">
        <v>804</v>
      </c>
      <c r="D381" s="88"/>
      <c r="E381" s="88"/>
      <c r="F381" s="120" t="s">
        <v>958</v>
      </c>
      <c r="G381" s="25" t="s">
        <v>145</v>
      </c>
      <c r="H381" s="85" t="s">
        <v>146</v>
      </c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116"/>
      <c r="V381" s="120"/>
      <c r="W381" s="120">
        <v>0</v>
      </c>
      <c r="X381" s="120" t="s">
        <v>207</v>
      </c>
      <c r="Y381" s="120">
        <v>0</v>
      </c>
      <c r="Z381" s="120" t="s">
        <v>207</v>
      </c>
      <c r="AA381" s="120">
        <v>0</v>
      </c>
      <c r="AB381" s="120" t="s">
        <v>207</v>
      </c>
      <c r="AC381" s="120">
        <v>0</v>
      </c>
      <c r="AD381" s="120" t="s">
        <v>207</v>
      </c>
      <c r="AE381" s="120">
        <v>857.22</v>
      </c>
      <c r="AF381" s="120" t="s">
        <v>207</v>
      </c>
      <c r="AG381" s="120">
        <v>25.48</v>
      </c>
      <c r="AH381" s="120" t="s">
        <v>207</v>
      </c>
      <c r="AI381" s="120">
        <v>21.95</v>
      </c>
      <c r="AJ381" s="118" t="s">
        <v>207</v>
      </c>
      <c r="AK381" s="120">
        <v>21.43</v>
      </c>
      <c r="AL381" s="118" t="s">
        <v>207</v>
      </c>
      <c r="AM381" s="120">
        <v>29.21</v>
      </c>
      <c r="AN381" s="118" t="s">
        <v>207</v>
      </c>
      <c r="AO381" s="120">
        <v>148.22</v>
      </c>
      <c r="AP381" s="120" t="s">
        <v>207</v>
      </c>
      <c r="AQ381" s="120">
        <v>139.1</v>
      </c>
      <c r="AR381" s="120" t="s">
        <v>207</v>
      </c>
      <c r="AS381" s="120">
        <v>167.43</v>
      </c>
      <c r="AT381" s="120" t="s">
        <v>207</v>
      </c>
      <c r="AU381" s="118">
        <f t="shared" ref="AU381:AU444" si="27">SUM(W381,Y381,AA381,AC381,AE381,AG381,AI381,AW381,AK381,AM381,AO381,AQ381,AS381)</f>
        <v>1410.04</v>
      </c>
      <c r="AV381" s="88"/>
      <c r="AW381" s="88"/>
      <c r="AX381" s="88"/>
      <c r="AY381" s="88"/>
      <c r="AZ381" s="88"/>
    </row>
    <row r="382" spans="1:52" s="90" customFormat="1" ht="15" customHeight="1" x14ac:dyDescent="0.3">
      <c r="A382" s="114">
        <v>371</v>
      </c>
      <c r="B382" s="174" t="s">
        <v>1063</v>
      </c>
      <c r="C382" s="120" t="s">
        <v>804</v>
      </c>
      <c r="D382" s="88"/>
      <c r="E382" s="88"/>
      <c r="F382" s="120" t="s">
        <v>958</v>
      </c>
      <c r="G382" s="25" t="s">
        <v>145</v>
      </c>
      <c r="H382" s="85" t="s">
        <v>146</v>
      </c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116">
        <v>1086.47</v>
      </c>
      <c r="V382" s="120">
        <v>1105.6500000000001</v>
      </c>
      <c r="W382" s="120">
        <v>174.85</v>
      </c>
      <c r="X382" s="120" t="s">
        <v>207</v>
      </c>
      <c r="Y382" s="120">
        <v>145.71</v>
      </c>
      <c r="Z382" s="120" t="s">
        <v>207</v>
      </c>
      <c r="AA382" s="120">
        <v>105.46</v>
      </c>
      <c r="AB382" s="120" t="s">
        <v>207</v>
      </c>
      <c r="AC382" s="120">
        <v>28.4</v>
      </c>
      <c r="AD382" s="120" t="s">
        <v>207</v>
      </c>
      <c r="AE382" s="120">
        <v>25.48</v>
      </c>
      <c r="AF382" s="120" t="s">
        <v>207</v>
      </c>
      <c r="AG382" s="120">
        <v>23.78</v>
      </c>
      <c r="AH382" s="120" t="s">
        <v>207</v>
      </c>
      <c r="AI382" s="120">
        <v>22.38</v>
      </c>
      <c r="AJ382" s="118" t="s">
        <v>207</v>
      </c>
      <c r="AK382" s="120">
        <v>62.66</v>
      </c>
      <c r="AL382" s="118" t="s">
        <v>207</v>
      </c>
      <c r="AM382" s="120">
        <v>181.73</v>
      </c>
      <c r="AN382" s="118" t="s">
        <v>207</v>
      </c>
      <c r="AO382" s="120">
        <v>163.55000000000001</v>
      </c>
      <c r="AP382" s="120" t="s">
        <v>207</v>
      </c>
      <c r="AQ382" s="120">
        <v>147.19999999999999</v>
      </c>
      <c r="AR382" s="120" t="s">
        <v>207</v>
      </c>
      <c r="AS382" s="120">
        <v>206.08</v>
      </c>
      <c r="AT382" s="120" t="s">
        <v>207</v>
      </c>
      <c r="AU382" s="118">
        <f t="shared" si="27"/>
        <v>1287.28</v>
      </c>
      <c r="AV382" s="88"/>
      <c r="AW382" s="88"/>
      <c r="AX382" s="88"/>
      <c r="AY382" s="88"/>
      <c r="AZ382" s="88"/>
    </row>
    <row r="383" spans="1:52" s="90" customFormat="1" ht="15" customHeight="1" x14ac:dyDescent="0.3">
      <c r="A383" s="114">
        <v>372</v>
      </c>
      <c r="B383" s="174" t="s">
        <v>1064</v>
      </c>
      <c r="C383" s="120" t="s">
        <v>804</v>
      </c>
      <c r="D383" s="88"/>
      <c r="E383" s="88"/>
      <c r="F383" s="120" t="s">
        <v>958</v>
      </c>
      <c r="G383" s="25" t="s">
        <v>145</v>
      </c>
      <c r="H383" s="85" t="s">
        <v>146</v>
      </c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116">
        <v>778.81</v>
      </c>
      <c r="V383" s="120">
        <v>929.48</v>
      </c>
      <c r="W383" s="120">
        <v>108.53</v>
      </c>
      <c r="X383" s="120" t="s">
        <v>207</v>
      </c>
      <c r="Y383" s="120">
        <v>85.1</v>
      </c>
      <c r="Z383" s="120" t="s">
        <v>207</v>
      </c>
      <c r="AA383" s="120">
        <v>105.42</v>
      </c>
      <c r="AB383" s="120" t="s">
        <v>207</v>
      </c>
      <c r="AC383" s="120">
        <v>65.23</v>
      </c>
      <c r="AD383" s="120" t="s">
        <v>207</v>
      </c>
      <c r="AE383" s="120">
        <v>26.45</v>
      </c>
      <c r="AF383" s="120" t="s">
        <v>207</v>
      </c>
      <c r="AG383" s="120">
        <v>10.27</v>
      </c>
      <c r="AH383" s="120" t="s">
        <v>207</v>
      </c>
      <c r="AI383" s="120">
        <v>9.2799999999999994</v>
      </c>
      <c r="AJ383" s="118" t="s">
        <v>207</v>
      </c>
      <c r="AK383" s="120">
        <v>7.46</v>
      </c>
      <c r="AL383" s="118" t="s">
        <v>207</v>
      </c>
      <c r="AM383" s="120">
        <v>11.98</v>
      </c>
      <c r="AN383" s="118" t="s">
        <v>207</v>
      </c>
      <c r="AO383" s="120">
        <v>63.41</v>
      </c>
      <c r="AP383" s="120" t="s">
        <v>207</v>
      </c>
      <c r="AQ383" s="120">
        <v>62.21</v>
      </c>
      <c r="AR383" s="120" t="s">
        <v>207</v>
      </c>
      <c r="AS383" s="120">
        <v>76.77</v>
      </c>
      <c r="AT383" s="120" t="s">
        <v>207</v>
      </c>
      <c r="AU383" s="118">
        <f t="shared" si="27"/>
        <v>632.11</v>
      </c>
      <c r="AV383" s="88"/>
      <c r="AW383" s="88"/>
      <c r="AX383" s="88"/>
      <c r="AY383" s="88"/>
      <c r="AZ383" s="88"/>
    </row>
    <row r="384" spans="1:52" s="90" customFormat="1" ht="15" customHeight="1" x14ac:dyDescent="0.3">
      <c r="A384" s="114">
        <v>373</v>
      </c>
      <c r="B384" s="174" t="s">
        <v>1065</v>
      </c>
      <c r="C384" s="120" t="s">
        <v>804</v>
      </c>
      <c r="D384" s="88"/>
      <c r="E384" s="88"/>
      <c r="F384" s="120" t="s">
        <v>958</v>
      </c>
      <c r="G384" s="25" t="s">
        <v>145</v>
      </c>
      <c r="H384" s="85" t="s">
        <v>146</v>
      </c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116">
        <v>1236.6500000000001</v>
      </c>
      <c r="V384" s="120">
        <v>11564.91</v>
      </c>
      <c r="W384" s="120">
        <v>264.68</v>
      </c>
      <c r="X384" s="120" t="s">
        <v>207</v>
      </c>
      <c r="Y384" s="120">
        <v>220.57</v>
      </c>
      <c r="Z384" s="120" t="s">
        <v>207</v>
      </c>
      <c r="AA384" s="120">
        <v>180.32</v>
      </c>
      <c r="AB384" s="120" t="s">
        <v>207</v>
      </c>
      <c r="AC384" s="120">
        <v>47.2</v>
      </c>
      <c r="AD384" s="120" t="s">
        <v>207</v>
      </c>
      <c r="AE384" s="120">
        <v>47.24</v>
      </c>
      <c r="AF384" s="120" t="s">
        <v>207</v>
      </c>
      <c r="AG384" s="120">
        <v>46.63</v>
      </c>
      <c r="AH384" s="120" t="s">
        <v>207</v>
      </c>
      <c r="AI384" s="120">
        <v>45.23</v>
      </c>
      <c r="AJ384" s="118" t="s">
        <v>207</v>
      </c>
      <c r="AK384" s="120">
        <v>101.51</v>
      </c>
      <c r="AL384" s="118" t="s">
        <v>207</v>
      </c>
      <c r="AM384" s="120">
        <v>213.83</v>
      </c>
      <c r="AN384" s="118" t="s">
        <v>207</v>
      </c>
      <c r="AO384" s="120">
        <v>183.26</v>
      </c>
      <c r="AP384" s="120" t="s">
        <v>207</v>
      </c>
      <c r="AQ384" s="120">
        <v>260.16000000000003</v>
      </c>
      <c r="AR384" s="120" t="s">
        <v>207</v>
      </c>
      <c r="AS384" s="120">
        <v>364.22</v>
      </c>
      <c r="AT384" s="120" t="s">
        <v>207</v>
      </c>
      <c r="AU384" s="118">
        <f t="shared" si="27"/>
        <v>1974.8500000000001</v>
      </c>
      <c r="AV384" s="88"/>
      <c r="AW384" s="88"/>
      <c r="AX384" s="88"/>
      <c r="AY384" s="88"/>
      <c r="AZ384" s="88"/>
    </row>
    <row r="385" spans="1:52" s="90" customFormat="1" ht="15" customHeight="1" x14ac:dyDescent="0.3">
      <c r="A385" s="114">
        <v>374</v>
      </c>
      <c r="B385" s="174" t="s">
        <v>1066</v>
      </c>
      <c r="C385" s="120" t="s">
        <v>804</v>
      </c>
      <c r="D385" s="88"/>
      <c r="E385" s="88"/>
      <c r="F385" s="120" t="s">
        <v>958</v>
      </c>
      <c r="G385" s="25" t="s">
        <v>145</v>
      </c>
      <c r="H385" s="85" t="s">
        <v>146</v>
      </c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116">
        <v>1005.94</v>
      </c>
      <c r="V385" s="120">
        <v>1128.6500000000001</v>
      </c>
      <c r="W385" s="120">
        <v>173.39</v>
      </c>
      <c r="X385" s="120" t="s">
        <v>207</v>
      </c>
      <c r="Y385" s="120">
        <v>144.49</v>
      </c>
      <c r="Z385" s="120" t="s">
        <v>207</v>
      </c>
      <c r="AA385" s="120">
        <v>104.24</v>
      </c>
      <c r="AB385" s="120" t="s">
        <v>207</v>
      </c>
      <c r="AC385" s="120">
        <v>31.57</v>
      </c>
      <c r="AD385" s="120" t="s">
        <v>207</v>
      </c>
      <c r="AE385" s="120">
        <v>23.57</v>
      </c>
      <c r="AF385" s="120" t="s">
        <v>207</v>
      </c>
      <c r="AG385" s="120">
        <v>26.7</v>
      </c>
      <c r="AH385" s="120" t="s">
        <v>207</v>
      </c>
      <c r="AI385" s="120">
        <v>25.3</v>
      </c>
      <c r="AJ385" s="118" t="s">
        <v>207</v>
      </c>
      <c r="AK385" s="120">
        <v>64.209999999999994</v>
      </c>
      <c r="AL385" s="118" t="s">
        <v>207</v>
      </c>
      <c r="AM385" s="120">
        <v>191.07</v>
      </c>
      <c r="AN385" s="118" t="s">
        <v>207</v>
      </c>
      <c r="AO385" s="120">
        <v>160.18</v>
      </c>
      <c r="AP385" s="120" t="s">
        <v>207</v>
      </c>
      <c r="AQ385" s="120">
        <v>135.66</v>
      </c>
      <c r="AR385" s="120" t="s">
        <v>207</v>
      </c>
      <c r="AS385" s="120">
        <v>189.62</v>
      </c>
      <c r="AT385" s="120" t="s">
        <v>207</v>
      </c>
      <c r="AU385" s="118">
        <f t="shared" si="27"/>
        <v>1270</v>
      </c>
      <c r="AV385" s="88"/>
      <c r="AW385" s="88"/>
      <c r="AX385" s="88"/>
      <c r="AY385" s="88"/>
      <c r="AZ385" s="88"/>
    </row>
    <row r="386" spans="1:52" s="90" customFormat="1" ht="15" customHeight="1" x14ac:dyDescent="0.3">
      <c r="A386" s="114">
        <v>375</v>
      </c>
      <c r="B386" s="174" t="s">
        <v>1067</v>
      </c>
      <c r="C386" s="120" t="s">
        <v>804</v>
      </c>
      <c r="D386" s="88"/>
      <c r="E386" s="88"/>
      <c r="F386" s="120" t="s">
        <v>958</v>
      </c>
      <c r="G386" s="25" t="s">
        <v>145</v>
      </c>
      <c r="H386" s="85" t="s">
        <v>146</v>
      </c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116">
        <v>1100.94</v>
      </c>
      <c r="V386" s="120">
        <v>1123.56</v>
      </c>
      <c r="W386" s="120">
        <v>145.24</v>
      </c>
      <c r="X386" s="120" t="s">
        <v>207</v>
      </c>
      <c r="Y386" s="120">
        <v>121.03</v>
      </c>
      <c r="Z386" s="120" t="s">
        <v>207</v>
      </c>
      <c r="AA386" s="120">
        <v>80.78</v>
      </c>
      <c r="AB386" s="120" t="s">
        <v>207</v>
      </c>
      <c r="AC386" s="120">
        <v>37.42</v>
      </c>
      <c r="AD386" s="120" t="s">
        <v>207</v>
      </c>
      <c r="AE386" s="120">
        <v>26.69</v>
      </c>
      <c r="AF386" s="120" t="s">
        <v>207</v>
      </c>
      <c r="AG386" s="120">
        <v>24.99</v>
      </c>
      <c r="AH386" s="120" t="s">
        <v>207</v>
      </c>
      <c r="AI386" s="120">
        <v>23.59</v>
      </c>
      <c r="AJ386" s="118" t="s">
        <v>207</v>
      </c>
      <c r="AK386" s="120">
        <v>66.05</v>
      </c>
      <c r="AL386" s="118" t="s">
        <v>207</v>
      </c>
      <c r="AM386" s="120">
        <v>191.55</v>
      </c>
      <c r="AN386" s="118" t="s">
        <v>207</v>
      </c>
      <c r="AO386" s="120">
        <v>172.4</v>
      </c>
      <c r="AP386" s="120" t="s">
        <v>207</v>
      </c>
      <c r="AQ386" s="120">
        <v>155.16</v>
      </c>
      <c r="AR386" s="120" t="s">
        <v>207</v>
      </c>
      <c r="AS386" s="120">
        <v>217.22</v>
      </c>
      <c r="AT386" s="120" t="s">
        <v>207</v>
      </c>
      <c r="AU386" s="118">
        <f t="shared" si="27"/>
        <v>1262.1199999999999</v>
      </c>
      <c r="AV386" s="88"/>
      <c r="AW386" s="88"/>
      <c r="AX386" s="88"/>
      <c r="AY386" s="88"/>
      <c r="AZ386" s="88"/>
    </row>
    <row r="387" spans="1:52" s="90" customFormat="1" ht="15" customHeight="1" x14ac:dyDescent="0.3">
      <c r="A387" s="114">
        <v>376</v>
      </c>
      <c r="B387" s="174" t="s">
        <v>1068</v>
      </c>
      <c r="C387" s="120" t="s">
        <v>804</v>
      </c>
      <c r="D387" s="88"/>
      <c r="E387" s="88"/>
      <c r="F387" s="120" t="s">
        <v>958</v>
      </c>
      <c r="G387" s="25" t="s">
        <v>145</v>
      </c>
      <c r="H387" s="85" t="s">
        <v>146</v>
      </c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116">
        <v>1095.49</v>
      </c>
      <c r="V387" s="120">
        <v>1142.3599999999999</v>
      </c>
      <c r="W387" s="120">
        <v>142.62</v>
      </c>
      <c r="X387" s="120" t="s">
        <v>207</v>
      </c>
      <c r="Y387" s="120">
        <v>118.85</v>
      </c>
      <c r="Z387" s="120" t="s">
        <v>207</v>
      </c>
      <c r="AA387" s="120">
        <v>78.599999999999994</v>
      </c>
      <c r="AB387" s="120" t="s">
        <v>207</v>
      </c>
      <c r="AC387" s="120">
        <v>33.229999999999997</v>
      </c>
      <c r="AD387" s="120" t="s">
        <v>207</v>
      </c>
      <c r="AE387" s="120">
        <v>24.75</v>
      </c>
      <c r="AF387" s="120" t="s">
        <v>207</v>
      </c>
      <c r="AG387" s="120">
        <v>23.05</v>
      </c>
      <c r="AH387" s="120" t="s">
        <v>207</v>
      </c>
      <c r="AI387" s="120">
        <v>21.65</v>
      </c>
      <c r="AJ387" s="118" t="s">
        <v>207</v>
      </c>
      <c r="AK387" s="120">
        <v>60.62</v>
      </c>
      <c r="AL387" s="118" t="s">
        <v>207</v>
      </c>
      <c r="AM387" s="120">
        <v>175.8</v>
      </c>
      <c r="AN387" s="118" t="s">
        <v>207</v>
      </c>
      <c r="AO387" s="120">
        <v>158.22</v>
      </c>
      <c r="AP387" s="120" t="s">
        <v>207</v>
      </c>
      <c r="AQ387" s="120">
        <v>142.4</v>
      </c>
      <c r="AR387" s="120" t="s">
        <v>207</v>
      </c>
      <c r="AS387" s="120">
        <v>199.35</v>
      </c>
      <c r="AT387" s="120" t="s">
        <v>207</v>
      </c>
      <c r="AU387" s="118">
        <f t="shared" si="27"/>
        <v>1179.1400000000001</v>
      </c>
      <c r="AV387" s="88"/>
      <c r="AW387" s="88"/>
      <c r="AX387" s="88"/>
      <c r="AY387" s="88"/>
      <c r="AZ387" s="88"/>
    </row>
    <row r="388" spans="1:52" s="90" customFormat="1" ht="15" customHeight="1" x14ac:dyDescent="0.3">
      <c r="A388" s="114">
        <v>377</v>
      </c>
      <c r="B388" s="174" t="s">
        <v>1069</v>
      </c>
      <c r="C388" s="120" t="s">
        <v>804</v>
      </c>
      <c r="D388" s="88"/>
      <c r="E388" s="88"/>
      <c r="F388" s="120" t="s">
        <v>958</v>
      </c>
      <c r="G388" s="25" t="s">
        <v>145</v>
      </c>
      <c r="H388" s="85" t="s">
        <v>146</v>
      </c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116">
        <v>1554.97</v>
      </c>
      <c r="V388" s="120">
        <v>1745.91</v>
      </c>
      <c r="W388" s="120">
        <v>203.8</v>
      </c>
      <c r="X388" s="120" t="s">
        <v>207</v>
      </c>
      <c r="Y388" s="120">
        <v>169.83</v>
      </c>
      <c r="Z388" s="120" t="s">
        <v>207</v>
      </c>
      <c r="AA388" s="120">
        <v>129.58000000000001</v>
      </c>
      <c r="AB388" s="120" t="s">
        <v>207</v>
      </c>
      <c r="AC388" s="120">
        <v>20.04</v>
      </c>
      <c r="AD388" s="120" t="s">
        <v>207</v>
      </c>
      <c r="AE388" s="120">
        <v>39.729999999999997</v>
      </c>
      <c r="AF388" s="120" t="s">
        <v>207</v>
      </c>
      <c r="AG388" s="120">
        <v>38.729999999999997</v>
      </c>
      <c r="AH388" s="120" t="s">
        <v>207</v>
      </c>
      <c r="AI388" s="120">
        <v>36.630000000000003</v>
      </c>
      <c r="AJ388" s="118" t="s">
        <v>207</v>
      </c>
      <c r="AK388" s="120">
        <v>102.56</v>
      </c>
      <c r="AL388" s="118" t="s">
        <v>207</v>
      </c>
      <c r="AM388" s="120">
        <v>297.44</v>
      </c>
      <c r="AN388" s="118" t="s">
        <v>207</v>
      </c>
      <c r="AO388" s="120">
        <v>267.69</v>
      </c>
      <c r="AP388" s="120" t="s">
        <v>207</v>
      </c>
      <c r="AQ388" s="120">
        <v>240.92</v>
      </c>
      <c r="AR388" s="120" t="s">
        <v>207</v>
      </c>
      <c r="AS388" s="120">
        <v>337.29</v>
      </c>
      <c r="AT388" s="120" t="s">
        <v>207</v>
      </c>
      <c r="AU388" s="118">
        <f t="shared" si="27"/>
        <v>1884.2400000000002</v>
      </c>
      <c r="AV388" s="88"/>
      <c r="AW388" s="88"/>
      <c r="AX388" s="88"/>
      <c r="AY388" s="88"/>
      <c r="AZ388" s="88"/>
    </row>
    <row r="389" spans="1:52" s="90" customFormat="1" ht="15" customHeight="1" x14ac:dyDescent="0.3">
      <c r="A389" s="114">
        <v>378</v>
      </c>
      <c r="B389" s="174" t="s">
        <v>1070</v>
      </c>
      <c r="C389" s="120" t="s">
        <v>804</v>
      </c>
      <c r="D389" s="88"/>
      <c r="E389" s="88"/>
      <c r="F389" s="120" t="s">
        <v>958</v>
      </c>
      <c r="G389" s="25" t="s">
        <v>145</v>
      </c>
      <c r="H389" s="85" t="s">
        <v>146</v>
      </c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116">
        <v>2114.94</v>
      </c>
      <c r="V389" s="120">
        <v>2541.2600000000002</v>
      </c>
      <c r="W389" s="120">
        <v>289.66000000000003</v>
      </c>
      <c r="X389" s="120" t="s">
        <v>207</v>
      </c>
      <c r="Y389" s="120">
        <v>219.57</v>
      </c>
      <c r="Z389" s="120" t="s">
        <v>207</v>
      </c>
      <c r="AA389" s="120">
        <v>296.57</v>
      </c>
      <c r="AB389" s="120" t="s">
        <v>207</v>
      </c>
      <c r="AC389" s="120">
        <v>189.38</v>
      </c>
      <c r="AD389" s="120" t="s">
        <v>207</v>
      </c>
      <c r="AE389" s="120">
        <v>98.16</v>
      </c>
      <c r="AF389" s="120" t="s">
        <v>207</v>
      </c>
      <c r="AG389" s="120">
        <v>39.36</v>
      </c>
      <c r="AH389" s="120" t="s">
        <v>207</v>
      </c>
      <c r="AI389" s="120">
        <v>41.31</v>
      </c>
      <c r="AJ389" s="118" t="s">
        <v>207</v>
      </c>
      <c r="AK389" s="120">
        <v>39.04</v>
      </c>
      <c r="AL389" s="118" t="s">
        <v>207</v>
      </c>
      <c r="AM389" s="120">
        <v>87.82</v>
      </c>
      <c r="AN389" s="118" t="s">
        <v>207</v>
      </c>
      <c r="AO389" s="120">
        <v>205.05</v>
      </c>
      <c r="AP389" s="120" t="s">
        <v>207</v>
      </c>
      <c r="AQ389" s="120">
        <v>179.47</v>
      </c>
      <c r="AR389" s="120" t="s">
        <v>207</v>
      </c>
      <c r="AS389" s="120">
        <v>269.20999999999998</v>
      </c>
      <c r="AT389" s="120" t="s">
        <v>207</v>
      </c>
      <c r="AU389" s="118">
        <f t="shared" si="27"/>
        <v>1954.5999999999997</v>
      </c>
      <c r="AV389" s="88"/>
      <c r="AW389" s="88"/>
      <c r="AX389" s="88"/>
      <c r="AY389" s="88"/>
      <c r="AZ389" s="88"/>
    </row>
    <row r="390" spans="1:52" s="90" customFormat="1" ht="15" customHeight="1" x14ac:dyDescent="0.3">
      <c r="A390" s="114">
        <v>379</v>
      </c>
      <c r="B390" s="174" t="s">
        <v>1071</v>
      </c>
      <c r="C390" s="120" t="s">
        <v>804</v>
      </c>
      <c r="D390" s="88"/>
      <c r="E390" s="88"/>
      <c r="F390" s="120" t="s">
        <v>958</v>
      </c>
      <c r="G390" s="25" t="s">
        <v>145</v>
      </c>
      <c r="H390" s="85" t="s">
        <v>146</v>
      </c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116">
        <v>3451.06</v>
      </c>
      <c r="V390" s="120">
        <v>4038.27</v>
      </c>
      <c r="W390" s="120">
        <v>332.68</v>
      </c>
      <c r="X390" s="120" t="s">
        <v>207</v>
      </c>
      <c r="Y390" s="120">
        <v>341.81</v>
      </c>
      <c r="Z390" s="120" t="s">
        <v>207</v>
      </c>
      <c r="AA390" s="120">
        <v>345.94</v>
      </c>
      <c r="AB390" s="120" t="s">
        <v>207</v>
      </c>
      <c r="AC390" s="120">
        <v>329.8</v>
      </c>
      <c r="AD390" s="120" t="s">
        <v>207</v>
      </c>
      <c r="AE390" s="120">
        <v>343.27</v>
      </c>
      <c r="AF390" s="120" t="s">
        <v>207</v>
      </c>
      <c r="AG390" s="120">
        <v>112.67</v>
      </c>
      <c r="AH390" s="120" t="s">
        <v>207</v>
      </c>
      <c r="AI390" s="120">
        <v>110.75</v>
      </c>
      <c r="AJ390" s="118" t="s">
        <v>207</v>
      </c>
      <c r="AK390" s="120">
        <v>-16.25</v>
      </c>
      <c r="AL390" s="118" t="s">
        <v>207</v>
      </c>
      <c r="AM390" s="120">
        <v>14.7</v>
      </c>
      <c r="AN390" s="118" t="s">
        <v>207</v>
      </c>
      <c r="AO390" s="120">
        <v>303.61</v>
      </c>
      <c r="AP390" s="120" t="s">
        <v>207</v>
      </c>
      <c r="AQ390" s="120">
        <v>271.12</v>
      </c>
      <c r="AR390" s="120" t="s">
        <v>207</v>
      </c>
      <c r="AS390" s="120">
        <v>600.25</v>
      </c>
      <c r="AT390" s="120" t="s">
        <v>207</v>
      </c>
      <c r="AU390" s="118">
        <f t="shared" si="27"/>
        <v>3090.35</v>
      </c>
      <c r="AV390" s="88"/>
      <c r="AW390" s="88"/>
      <c r="AX390" s="88"/>
      <c r="AY390" s="88"/>
      <c r="AZ390" s="88"/>
    </row>
    <row r="391" spans="1:52" s="90" customFormat="1" ht="15" customHeight="1" x14ac:dyDescent="0.3">
      <c r="A391" s="114">
        <v>380</v>
      </c>
      <c r="B391" s="174" t="s">
        <v>1072</v>
      </c>
      <c r="C391" s="120" t="s">
        <v>804</v>
      </c>
      <c r="D391" s="88"/>
      <c r="E391" s="88"/>
      <c r="F391" s="120" t="s">
        <v>958</v>
      </c>
      <c r="G391" s="25" t="s">
        <v>145</v>
      </c>
      <c r="H391" s="85" t="s">
        <v>146</v>
      </c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116">
        <v>702.86</v>
      </c>
      <c r="V391" s="120">
        <v>914.29</v>
      </c>
      <c r="W391" s="120">
        <v>129.06</v>
      </c>
      <c r="X391" s="120" t="s">
        <v>207</v>
      </c>
      <c r="Y391" s="120">
        <v>103.44</v>
      </c>
      <c r="Z391" s="120" t="s">
        <v>207</v>
      </c>
      <c r="AA391" s="120">
        <v>126.82</v>
      </c>
      <c r="AB391" s="120" t="s">
        <v>207</v>
      </c>
      <c r="AC391" s="120">
        <v>71.849999999999994</v>
      </c>
      <c r="AD391" s="120" t="s">
        <v>207</v>
      </c>
      <c r="AE391" s="120">
        <v>28.02</v>
      </c>
      <c r="AF391" s="120" t="s">
        <v>207</v>
      </c>
      <c r="AG391" s="120">
        <v>10.96</v>
      </c>
      <c r="AH391" s="120" t="s">
        <v>207</v>
      </c>
      <c r="AI391" s="120">
        <v>9.98</v>
      </c>
      <c r="AJ391" s="118" t="s">
        <v>207</v>
      </c>
      <c r="AK391" s="120">
        <v>8.83</v>
      </c>
      <c r="AL391" s="118" t="s">
        <v>207</v>
      </c>
      <c r="AM391" s="120">
        <v>12.99</v>
      </c>
      <c r="AN391" s="118" t="s">
        <v>207</v>
      </c>
      <c r="AO391" s="120">
        <v>76.77</v>
      </c>
      <c r="AP391" s="120" t="s">
        <v>207</v>
      </c>
      <c r="AQ391" s="120">
        <v>70.45</v>
      </c>
      <c r="AR391" s="120" t="s">
        <v>207</v>
      </c>
      <c r="AS391" s="120">
        <v>94.78</v>
      </c>
      <c r="AT391" s="120" t="s">
        <v>207</v>
      </c>
      <c r="AU391" s="118">
        <f t="shared" si="27"/>
        <v>743.94999999999993</v>
      </c>
      <c r="AV391" s="88"/>
      <c r="AW391" s="88"/>
      <c r="AX391" s="88"/>
      <c r="AY391" s="88"/>
      <c r="AZ391" s="88"/>
    </row>
    <row r="392" spans="1:52" s="90" customFormat="1" ht="15" customHeight="1" x14ac:dyDescent="0.3">
      <c r="A392" s="114">
        <v>381</v>
      </c>
      <c r="B392" s="174" t="s">
        <v>1073</v>
      </c>
      <c r="C392" s="120" t="s">
        <v>804</v>
      </c>
      <c r="D392" s="88"/>
      <c r="E392" s="88"/>
      <c r="F392" s="120" t="s">
        <v>958</v>
      </c>
      <c r="G392" s="25" t="s">
        <v>145</v>
      </c>
      <c r="H392" s="85" t="s">
        <v>146</v>
      </c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116">
        <v>1486.82</v>
      </c>
      <c r="V392" s="120">
        <v>1710.12</v>
      </c>
      <c r="W392" s="120">
        <v>200.97</v>
      </c>
      <c r="X392" s="120" t="s">
        <v>207</v>
      </c>
      <c r="Y392" s="120">
        <v>162.22999999999999</v>
      </c>
      <c r="Z392" s="120" t="s">
        <v>207</v>
      </c>
      <c r="AA392" s="120">
        <v>212.81</v>
      </c>
      <c r="AB392" s="120" t="s">
        <v>207</v>
      </c>
      <c r="AC392" s="120">
        <v>106.3</v>
      </c>
      <c r="AD392" s="120" t="s">
        <v>207</v>
      </c>
      <c r="AE392" s="120">
        <v>65.8</v>
      </c>
      <c r="AF392" s="120" t="s">
        <v>207</v>
      </c>
      <c r="AG392" s="120">
        <v>24.52</v>
      </c>
      <c r="AH392" s="120" t="s">
        <v>207</v>
      </c>
      <c r="AI392" s="120">
        <v>21.11</v>
      </c>
      <c r="AJ392" s="118" t="s">
        <v>207</v>
      </c>
      <c r="AK392" s="120">
        <v>25.11</v>
      </c>
      <c r="AL392" s="118" t="s">
        <v>207</v>
      </c>
      <c r="AM392" s="120">
        <v>40.24</v>
      </c>
      <c r="AN392" s="118" t="s">
        <v>207</v>
      </c>
      <c r="AO392" s="120">
        <v>121.94</v>
      </c>
      <c r="AP392" s="120" t="s">
        <v>207</v>
      </c>
      <c r="AQ392" s="120">
        <v>119.36</v>
      </c>
      <c r="AR392" s="120" t="s">
        <v>207</v>
      </c>
      <c r="AS392" s="120">
        <v>164.81</v>
      </c>
      <c r="AT392" s="120" t="s">
        <v>207</v>
      </c>
      <c r="AU392" s="118">
        <f t="shared" si="27"/>
        <v>1265.1999999999998</v>
      </c>
      <c r="AV392" s="88"/>
      <c r="AW392" s="88"/>
      <c r="AX392" s="88"/>
      <c r="AY392" s="88"/>
      <c r="AZ392" s="88"/>
    </row>
    <row r="393" spans="1:52" s="90" customFormat="1" ht="15" customHeight="1" x14ac:dyDescent="0.3">
      <c r="A393" s="114">
        <v>382</v>
      </c>
      <c r="B393" s="174" t="s">
        <v>1074</v>
      </c>
      <c r="C393" s="120" t="s">
        <v>804</v>
      </c>
      <c r="D393" s="88"/>
      <c r="E393" s="88"/>
      <c r="F393" s="120" t="s">
        <v>958</v>
      </c>
      <c r="G393" s="25" t="s">
        <v>145</v>
      </c>
      <c r="H393" s="85" t="s">
        <v>146</v>
      </c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116">
        <v>2064.2600000000002</v>
      </c>
      <c r="V393" s="120">
        <v>2418.3000000000002</v>
      </c>
      <c r="W393" s="120">
        <v>319.82</v>
      </c>
      <c r="X393" s="120" t="s">
        <v>207</v>
      </c>
      <c r="Y393" s="120">
        <v>244.44</v>
      </c>
      <c r="Z393" s="120" t="s">
        <v>207</v>
      </c>
      <c r="AA393" s="120">
        <v>324.7</v>
      </c>
      <c r="AB393" s="120" t="s">
        <v>207</v>
      </c>
      <c r="AC393" s="120">
        <v>186.64</v>
      </c>
      <c r="AD393" s="120" t="s">
        <v>207</v>
      </c>
      <c r="AE393" s="120">
        <v>81.23</v>
      </c>
      <c r="AF393" s="120" t="s">
        <v>207</v>
      </c>
      <c r="AG393" s="120">
        <v>54.7</v>
      </c>
      <c r="AH393" s="120" t="s">
        <v>207</v>
      </c>
      <c r="AI393" s="120">
        <v>44.15</v>
      </c>
      <c r="AJ393" s="118" t="s">
        <v>207</v>
      </c>
      <c r="AK393" s="120">
        <v>51.61</v>
      </c>
      <c r="AL393" s="118" t="s">
        <v>207</v>
      </c>
      <c r="AM393" s="120">
        <v>98.87</v>
      </c>
      <c r="AN393" s="118" t="s">
        <v>207</v>
      </c>
      <c r="AO393" s="120">
        <v>236.05</v>
      </c>
      <c r="AP393" s="120" t="s">
        <v>207</v>
      </c>
      <c r="AQ393" s="120">
        <v>179.79</v>
      </c>
      <c r="AR393" s="120" t="s">
        <v>207</v>
      </c>
      <c r="AS393" s="120">
        <v>236.64</v>
      </c>
      <c r="AT393" s="120" t="s">
        <v>207</v>
      </c>
      <c r="AU393" s="118">
        <f t="shared" si="27"/>
        <v>2058.64</v>
      </c>
      <c r="AV393" s="88"/>
      <c r="AW393" s="88"/>
      <c r="AX393" s="88"/>
      <c r="AY393" s="88"/>
      <c r="AZ393" s="88"/>
    </row>
    <row r="394" spans="1:52" s="90" customFormat="1" ht="15" customHeight="1" x14ac:dyDescent="0.3">
      <c r="A394" s="114">
        <v>383</v>
      </c>
      <c r="B394" s="174" t="s">
        <v>1075</v>
      </c>
      <c r="C394" s="120" t="s">
        <v>804</v>
      </c>
      <c r="D394" s="88"/>
      <c r="E394" s="88"/>
      <c r="F394" s="120" t="s">
        <v>958</v>
      </c>
      <c r="G394" s="25" t="s">
        <v>145</v>
      </c>
      <c r="H394" s="85" t="s">
        <v>146</v>
      </c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116">
        <v>1780.45</v>
      </c>
      <c r="V394" s="120">
        <v>2126.6999999999998</v>
      </c>
      <c r="W394" s="120">
        <v>261.68</v>
      </c>
      <c r="X394" s="120" t="s">
        <v>207</v>
      </c>
      <c r="Y394" s="120">
        <v>209.26</v>
      </c>
      <c r="Z394" s="120" t="s">
        <v>207</v>
      </c>
      <c r="AA394" s="120">
        <v>204.52</v>
      </c>
      <c r="AB394" s="120" t="s">
        <v>207</v>
      </c>
      <c r="AC394" s="120">
        <v>181.07</v>
      </c>
      <c r="AD394" s="120" t="s">
        <v>207</v>
      </c>
      <c r="AE394" s="120">
        <v>91.91</v>
      </c>
      <c r="AF394" s="120" t="s">
        <v>207</v>
      </c>
      <c r="AG394" s="120">
        <v>56.33</v>
      </c>
      <c r="AH394" s="120" t="s">
        <v>207</v>
      </c>
      <c r="AI394" s="120">
        <v>37.520000000000003</v>
      </c>
      <c r="AJ394" s="118" t="s">
        <v>207</v>
      </c>
      <c r="AK394" s="120">
        <v>45.59</v>
      </c>
      <c r="AL394" s="118" t="s">
        <v>207</v>
      </c>
      <c r="AM394" s="120">
        <v>84.24</v>
      </c>
      <c r="AN394" s="118" t="s">
        <v>207</v>
      </c>
      <c r="AO394" s="120">
        <v>74.19</v>
      </c>
      <c r="AP394" s="120" t="s">
        <v>207</v>
      </c>
      <c r="AQ394" s="120">
        <v>171.72</v>
      </c>
      <c r="AR394" s="120" t="s">
        <v>207</v>
      </c>
      <c r="AS394" s="120">
        <v>185.57</v>
      </c>
      <c r="AT394" s="120" t="s">
        <v>207</v>
      </c>
      <c r="AU394" s="118">
        <f t="shared" si="27"/>
        <v>1603.6</v>
      </c>
      <c r="AV394" s="88"/>
      <c r="AW394" s="88"/>
      <c r="AX394" s="88"/>
      <c r="AY394" s="88"/>
      <c r="AZ394" s="88"/>
    </row>
    <row r="395" spans="1:52" s="90" customFormat="1" ht="15" customHeight="1" x14ac:dyDescent="0.3">
      <c r="A395" s="114">
        <v>384</v>
      </c>
      <c r="B395" s="174" t="s">
        <v>1076</v>
      </c>
      <c r="C395" s="120" t="s">
        <v>804</v>
      </c>
      <c r="D395" s="88"/>
      <c r="E395" s="88"/>
      <c r="F395" s="120" t="s">
        <v>958</v>
      </c>
      <c r="G395" s="25" t="s">
        <v>145</v>
      </c>
      <c r="H395" s="85" t="s">
        <v>146</v>
      </c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116">
        <v>793.43</v>
      </c>
      <c r="V395" s="120">
        <v>1026.01</v>
      </c>
      <c r="W395" s="120">
        <v>63.25</v>
      </c>
      <c r="X395" s="120" t="s">
        <v>207</v>
      </c>
      <c r="Y395" s="120">
        <v>62.85</v>
      </c>
      <c r="Z395" s="120" t="s">
        <v>207</v>
      </c>
      <c r="AA395" s="120">
        <v>64.41</v>
      </c>
      <c r="AB395" s="120" t="s">
        <v>207</v>
      </c>
      <c r="AC395" s="120">
        <v>67.03</v>
      </c>
      <c r="AD395" s="120" t="s">
        <v>207</v>
      </c>
      <c r="AE395" s="120">
        <v>26.03</v>
      </c>
      <c r="AF395" s="120" t="s">
        <v>207</v>
      </c>
      <c r="AG395" s="120">
        <v>20.37</v>
      </c>
      <c r="AH395" s="120" t="s">
        <v>207</v>
      </c>
      <c r="AI395" s="120">
        <v>23.32</v>
      </c>
      <c r="AJ395" s="118" t="s">
        <v>207</v>
      </c>
      <c r="AK395" s="120">
        <v>-6.02</v>
      </c>
      <c r="AL395" s="118" t="s">
        <v>207</v>
      </c>
      <c r="AM395" s="120">
        <v>14.71</v>
      </c>
      <c r="AN395" s="118" t="s">
        <v>207</v>
      </c>
      <c r="AO395" s="120">
        <v>61.12</v>
      </c>
      <c r="AP395" s="120" t="s">
        <v>207</v>
      </c>
      <c r="AQ395" s="120">
        <v>60.39</v>
      </c>
      <c r="AR395" s="120" t="s">
        <v>207</v>
      </c>
      <c r="AS395" s="120">
        <v>82.38</v>
      </c>
      <c r="AT395" s="120" t="s">
        <v>207</v>
      </c>
      <c r="AU395" s="118">
        <f t="shared" si="27"/>
        <v>539.83999999999992</v>
      </c>
      <c r="AV395" s="88"/>
      <c r="AW395" s="88"/>
      <c r="AX395" s="88"/>
      <c r="AY395" s="88"/>
      <c r="AZ395" s="88"/>
    </row>
    <row r="396" spans="1:52" s="90" customFormat="1" ht="15" customHeight="1" x14ac:dyDescent="0.3">
      <c r="A396" s="114">
        <v>385</v>
      </c>
      <c r="B396" s="174" t="s">
        <v>1077</v>
      </c>
      <c r="C396" s="120" t="s">
        <v>804</v>
      </c>
      <c r="D396" s="88"/>
      <c r="E396" s="88"/>
      <c r="F396" s="120" t="s">
        <v>958</v>
      </c>
      <c r="G396" s="25" t="s">
        <v>145</v>
      </c>
      <c r="H396" s="85" t="s">
        <v>146</v>
      </c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116">
        <v>806.39</v>
      </c>
      <c r="V396" s="120">
        <v>1062.74</v>
      </c>
      <c r="W396" s="120">
        <v>62.51</v>
      </c>
      <c r="X396" s="120" t="s">
        <v>207</v>
      </c>
      <c r="Y396" s="120">
        <v>65.08</v>
      </c>
      <c r="Z396" s="120" t="s">
        <v>207</v>
      </c>
      <c r="AA396" s="120">
        <v>64.959999999999994</v>
      </c>
      <c r="AB396" s="120" t="s">
        <v>207</v>
      </c>
      <c r="AC396" s="120">
        <v>50.19</v>
      </c>
      <c r="AD396" s="120" t="s">
        <v>207</v>
      </c>
      <c r="AE396" s="120">
        <v>23.1</v>
      </c>
      <c r="AF396" s="120" t="s">
        <v>207</v>
      </c>
      <c r="AG396" s="120">
        <v>21.73</v>
      </c>
      <c r="AH396" s="120" t="s">
        <v>207</v>
      </c>
      <c r="AI396" s="120">
        <v>26.18</v>
      </c>
      <c r="AJ396" s="118" t="s">
        <v>207</v>
      </c>
      <c r="AK396" s="120">
        <v>-1.2</v>
      </c>
      <c r="AL396" s="118" t="s">
        <v>207</v>
      </c>
      <c r="AM396" s="120">
        <v>11.08</v>
      </c>
      <c r="AN396" s="118" t="s">
        <v>207</v>
      </c>
      <c r="AO396" s="120">
        <v>56.03</v>
      </c>
      <c r="AP396" s="120" t="s">
        <v>207</v>
      </c>
      <c r="AQ396" s="120">
        <v>55.55</v>
      </c>
      <c r="AR396" s="120" t="s">
        <v>207</v>
      </c>
      <c r="AS396" s="120">
        <v>85.88</v>
      </c>
      <c r="AT396" s="120" t="s">
        <v>207</v>
      </c>
      <c r="AU396" s="118">
        <f t="shared" si="27"/>
        <v>521.09000000000015</v>
      </c>
      <c r="AV396" s="88"/>
      <c r="AW396" s="88"/>
      <c r="AX396" s="88"/>
      <c r="AY396" s="88"/>
      <c r="AZ396" s="88"/>
    </row>
    <row r="397" spans="1:52" s="90" customFormat="1" ht="15" customHeight="1" x14ac:dyDescent="0.3">
      <c r="A397" s="114">
        <v>386</v>
      </c>
      <c r="B397" s="174" t="s">
        <v>1078</v>
      </c>
      <c r="C397" s="120" t="s">
        <v>804</v>
      </c>
      <c r="D397" s="88"/>
      <c r="E397" s="88"/>
      <c r="F397" s="120" t="s">
        <v>958</v>
      </c>
      <c r="G397" s="25" t="s">
        <v>145</v>
      </c>
      <c r="H397" s="85" t="s">
        <v>146</v>
      </c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116">
        <v>5821.56</v>
      </c>
      <c r="V397" s="120">
        <v>6854.43</v>
      </c>
      <c r="W397" s="120">
        <v>585.54999999999995</v>
      </c>
      <c r="X397" s="120" t="s">
        <v>207</v>
      </c>
      <c r="Y397" s="120">
        <v>588.03</v>
      </c>
      <c r="Z397" s="120" t="s">
        <v>207</v>
      </c>
      <c r="AA397" s="120">
        <v>777.73</v>
      </c>
      <c r="AB397" s="120" t="s">
        <v>207</v>
      </c>
      <c r="AC397" s="120">
        <v>587.13</v>
      </c>
      <c r="AD397" s="120" t="s">
        <v>207</v>
      </c>
      <c r="AE397" s="120">
        <v>529.13</v>
      </c>
      <c r="AF397" s="120" t="s">
        <v>207</v>
      </c>
      <c r="AG397" s="120">
        <v>-28.51</v>
      </c>
      <c r="AH397" s="120" t="s">
        <v>207</v>
      </c>
      <c r="AI397" s="120">
        <v>149.94999999999999</v>
      </c>
      <c r="AJ397" s="118" t="s">
        <v>207</v>
      </c>
      <c r="AK397" s="120">
        <v>53.9</v>
      </c>
      <c r="AL397" s="118" t="s">
        <v>207</v>
      </c>
      <c r="AM397" s="120">
        <v>117.57</v>
      </c>
      <c r="AN397" s="118" t="s">
        <v>207</v>
      </c>
      <c r="AO397" s="120">
        <v>484.25</v>
      </c>
      <c r="AP397" s="120" t="s">
        <v>207</v>
      </c>
      <c r="AQ397" s="120">
        <v>462.1</v>
      </c>
      <c r="AR397" s="120" t="s">
        <v>207</v>
      </c>
      <c r="AS397" s="120">
        <v>648.35</v>
      </c>
      <c r="AT397" s="120" t="s">
        <v>207</v>
      </c>
      <c r="AU397" s="118">
        <f t="shared" si="27"/>
        <v>4955.18</v>
      </c>
      <c r="AV397" s="88"/>
      <c r="AW397" s="88"/>
      <c r="AX397" s="88"/>
      <c r="AY397" s="88"/>
      <c r="AZ397" s="88"/>
    </row>
    <row r="398" spans="1:52" s="90" customFormat="1" ht="15" customHeight="1" x14ac:dyDescent="0.3">
      <c r="A398" s="114">
        <v>387</v>
      </c>
      <c r="B398" s="174" t="s">
        <v>1079</v>
      </c>
      <c r="C398" s="120" t="s">
        <v>804</v>
      </c>
      <c r="D398" s="88"/>
      <c r="E398" s="88"/>
      <c r="F398" s="120" t="s">
        <v>958</v>
      </c>
      <c r="G398" s="25" t="s">
        <v>145</v>
      </c>
      <c r="H398" s="85" t="s">
        <v>146</v>
      </c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116">
        <v>4079.78</v>
      </c>
      <c r="V398" s="120">
        <v>4905.71</v>
      </c>
      <c r="W398" s="120">
        <v>648.53</v>
      </c>
      <c r="X398" s="120" t="s">
        <v>207</v>
      </c>
      <c r="Y398" s="120">
        <v>410.26</v>
      </c>
      <c r="Z398" s="120" t="s">
        <v>207</v>
      </c>
      <c r="AA398" s="120">
        <v>378.61</v>
      </c>
      <c r="AB398" s="120" t="s">
        <v>207</v>
      </c>
      <c r="AC398" s="120">
        <v>375.12</v>
      </c>
      <c r="AD398" s="120" t="s">
        <v>207</v>
      </c>
      <c r="AE398" s="120">
        <v>317.58999999999997</v>
      </c>
      <c r="AF398" s="120" t="s">
        <v>207</v>
      </c>
      <c r="AG398" s="120">
        <v>77.040000000000006</v>
      </c>
      <c r="AH398" s="120" t="s">
        <v>207</v>
      </c>
      <c r="AI398" s="120">
        <v>15.27</v>
      </c>
      <c r="AJ398" s="118" t="s">
        <v>207</v>
      </c>
      <c r="AK398" s="120">
        <v>17.100000000000001</v>
      </c>
      <c r="AL398" s="118" t="s">
        <v>207</v>
      </c>
      <c r="AM398" s="120">
        <v>22.25</v>
      </c>
      <c r="AN398" s="118" t="s">
        <v>207</v>
      </c>
      <c r="AO398" s="120">
        <v>179.36</v>
      </c>
      <c r="AP398" s="120" t="s">
        <v>207</v>
      </c>
      <c r="AQ398" s="120">
        <v>359.64</v>
      </c>
      <c r="AR398" s="120" t="s">
        <v>207</v>
      </c>
      <c r="AS398" s="120">
        <v>456.38</v>
      </c>
      <c r="AT398" s="120" t="s">
        <v>207</v>
      </c>
      <c r="AU398" s="118">
        <f t="shared" si="27"/>
        <v>3257.15</v>
      </c>
      <c r="AV398" s="88"/>
      <c r="AW398" s="88"/>
      <c r="AX398" s="88"/>
      <c r="AY398" s="88"/>
      <c r="AZ398" s="88"/>
    </row>
    <row r="399" spans="1:52" s="90" customFormat="1" ht="15" customHeight="1" x14ac:dyDescent="0.3">
      <c r="A399" s="114">
        <v>388</v>
      </c>
      <c r="B399" s="174" t="s">
        <v>1080</v>
      </c>
      <c r="C399" s="291" t="s">
        <v>959</v>
      </c>
      <c r="D399" s="88"/>
      <c r="E399" s="88"/>
      <c r="F399" s="120" t="s">
        <v>958</v>
      </c>
      <c r="G399" s="25" t="s">
        <v>145</v>
      </c>
      <c r="H399" s="85" t="s">
        <v>146</v>
      </c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116"/>
      <c r="V399" s="120"/>
      <c r="W399" s="120"/>
      <c r="X399" s="120" t="s">
        <v>207</v>
      </c>
      <c r="Y399" s="120"/>
      <c r="Z399" s="120" t="s">
        <v>207</v>
      </c>
      <c r="AA399" s="120"/>
      <c r="AB399" s="120" t="s">
        <v>207</v>
      </c>
      <c r="AC399" s="120"/>
      <c r="AD399" s="120" t="s">
        <v>207</v>
      </c>
      <c r="AE399" s="120"/>
      <c r="AF399" s="120" t="s">
        <v>207</v>
      </c>
      <c r="AG399" s="120"/>
      <c r="AH399" s="120" t="s">
        <v>207</v>
      </c>
      <c r="AI399" s="120"/>
      <c r="AJ399" s="118" t="s">
        <v>207</v>
      </c>
      <c r="AK399" s="120"/>
      <c r="AL399" s="118" t="s">
        <v>207</v>
      </c>
      <c r="AM399" s="120"/>
      <c r="AN399" s="118" t="s">
        <v>207</v>
      </c>
      <c r="AO399" s="120"/>
      <c r="AP399" s="120" t="s">
        <v>207</v>
      </c>
      <c r="AQ399" s="120"/>
      <c r="AR399" s="120" t="s">
        <v>207</v>
      </c>
      <c r="AS399" s="120"/>
      <c r="AT399" s="120" t="s">
        <v>207</v>
      </c>
      <c r="AU399" s="118">
        <f t="shared" si="27"/>
        <v>0</v>
      </c>
      <c r="AV399" s="88"/>
      <c r="AW399" s="88"/>
      <c r="AX399" s="88"/>
      <c r="AY399" s="88"/>
      <c r="AZ399" s="88"/>
    </row>
    <row r="400" spans="1:52" s="90" customFormat="1" ht="15" customHeight="1" x14ac:dyDescent="0.3">
      <c r="A400" s="114">
        <v>389</v>
      </c>
      <c r="B400" s="174" t="s">
        <v>1081</v>
      </c>
      <c r="C400" s="291" t="s">
        <v>959</v>
      </c>
      <c r="D400" s="88"/>
      <c r="E400" s="88"/>
      <c r="F400" s="120" t="s">
        <v>958</v>
      </c>
      <c r="G400" s="25" t="s">
        <v>145</v>
      </c>
      <c r="H400" s="85" t="s">
        <v>146</v>
      </c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116"/>
      <c r="V400" s="120"/>
      <c r="W400" s="120"/>
      <c r="X400" s="120" t="s">
        <v>207</v>
      </c>
      <c r="Y400" s="120"/>
      <c r="Z400" s="120" t="s">
        <v>207</v>
      </c>
      <c r="AA400" s="120"/>
      <c r="AB400" s="120" t="s">
        <v>207</v>
      </c>
      <c r="AC400" s="120"/>
      <c r="AD400" s="120" t="s">
        <v>207</v>
      </c>
      <c r="AE400" s="120"/>
      <c r="AF400" s="120" t="s">
        <v>207</v>
      </c>
      <c r="AG400" s="120"/>
      <c r="AH400" s="120" t="s">
        <v>207</v>
      </c>
      <c r="AI400" s="120"/>
      <c r="AJ400" s="118" t="s">
        <v>207</v>
      </c>
      <c r="AK400" s="120"/>
      <c r="AL400" s="118" t="s">
        <v>207</v>
      </c>
      <c r="AM400" s="120"/>
      <c r="AN400" s="118" t="s">
        <v>207</v>
      </c>
      <c r="AO400" s="120"/>
      <c r="AP400" s="120" t="s">
        <v>207</v>
      </c>
      <c r="AQ400" s="120"/>
      <c r="AR400" s="120" t="s">
        <v>207</v>
      </c>
      <c r="AS400" s="120"/>
      <c r="AT400" s="120" t="s">
        <v>207</v>
      </c>
      <c r="AU400" s="118">
        <f t="shared" si="27"/>
        <v>0</v>
      </c>
      <c r="AV400" s="88"/>
      <c r="AW400" s="88"/>
      <c r="AX400" s="88"/>
      <c r="AY400" s="88"/>
      <c r="AZ400" s="88"/>
    </row>
    <row r="401" spans="1:52" s="90" customFormat="1" ht="15" customHeight="1" x14ac:dyDescent="0.3">
      <c r="A401" s="114">
        <v>390</v>
      </c>
      <c r="B401" s="174" t="s">
        <v>1082</v>
      </c>
      <c r="C401" s="291" t="s">
        <v>959</v>
      </c>
      <c r="D401" s="88"/>
      <c r="E401" s="88"/>
      <c r="F401" s="120" t="s">
        <v>958</v>
      </c>
      <c r="G401" s="25" t="s">
        <v>145</v>
      </c>
      <c r="H401" s="85" t="s">
        <v>146</v>
      </c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116"/>
      <c r="V401" s="120"/>
      <c r="W401" s="120"/>
      <c r="X401" s="120" t="s">
        <v>207</v>
      </c>
      <c r="Y401" s="120"/>
      <c r="Z401" s="120" t="s">
        <v>207</v>
      </c>
      <c r="AA401" s="120"/>
      <c r="AB401" s="120" t="s">
        <v>207</v>
      </c>
      <c r="AC401" s="120"/>
      <c r="AD401" s="120" t="s">
        <v>207</v>
      </c>
      <c r="AE401" s="120"/>
      <c r="AF401" s="120" t="s">
        <v>207</v>
      </c>
      <c r="AG401" s="120"/>
      <c r="AH401" s="120" t="s">
        <v>207</v>
      </c>
      <c r="AI401" s="120"/>
      <c r="AJ401" s="118" t="s">
        <v>207</v>
      </c>
      <c r="AK401" s="120"/>
      <c r="AL401" s="118" t="s">
        <v>207</v>
      </c>
      <c r="AM401" s="120"/>
      <c r="AN401" s="118" t="s">
        <v>207</v>
      </c>
      <c r="AO401" s="120"/>
      <c r="AP401" s="120" t="s">
        <v>207</v>
      </c>
      <c r="AQ401" s="120"/>
      <c r="AR401" s="120" t="s">
        <v>207</v>
      </c>
      <c r="AS401" s="120"/>
      <c r="AT401" s="120" t="s">
        <v>207</v>
      </c>
      <c r="AU401" s="118">
        <f t="shared" si="27"/>
        <v>0</v>
      </c>
      <c r="AV401" s="88"/>
      <c r="AW401" s="88"/>
      <c r="AX401" s="88"/>
      <c r="AY401" s="88"/>
      <c r="AZ401" s="88"/>
    </row>
    <row r="402" spans="1:52" s="90" customFormat="1" ht="15" customHeight="1" x14ac:dyDescent="0.3">
      <c r="A402" s="114">
        <v>391</v>
      </c>
      <c r="B402" s="174" t="s">
        <v>1083</v>
      </c>
      <c r="C402" s="291" t="s">
        <v>959</v>
      </c>
      <c r="D402" s="88"/>
      <c r="E402" s="88"/>
      <c r="F402" s="120" t="s">
        <v>958</v>
      </c>
      <c r="G402" s="25" t="s">
        <v>145</v>
      </c>
      <c r="H402" s="85" t="s">
        <v>146</v>
      </c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116">
        <v>1302.23</v>
      </c>
      <c r="V402" s="120">
        <v>1322.57</v>
      </c>
      <c r="W402" s="120">
        <v>182.14</v>
      </c>
      <c r="X402" s="120" t="s">
        <v>207</v>
      </c>
      <c r="Y402" s="120">
        <v>148.15</v>
      </c>
      <c r="Z402" s="120" t="s">
        <v>207</v>
      </c>
      <c r="AA402" s="120">
        <v>144.31</v>
      </c>
      <c r="AB402" s="120" t="s">
        <v>207</v>
      </c>
      <c r="AC402" s="120">
        <v>135.38</v>
      </c>
      <c r="AD402" s="120" t="s">
        <v>207</v>
      </c>
      <c r="AE402" s="120">
        <v>79.17</v>
      </c>
      <c r="AF402" s="120" t="s">
        <v>207</v>
      </c>
      <c r="AG402" s="120">
        <v>46.08</v>
      </c>
      <c r="AH402" s="120" t="s">
        <v>207</v>
      </c>
      <c r="AI402" s="120">
        <v>31</v>
      </c>
      <c r="AJ402" s="118" t="s">
        <v>207</v>
      </c>
      <c r="AK402" s="120">
        <v>30.98</v>
      </c>
      <c r="AL402" s="118" t="s">
        <v>207</v>
      </c>
      <c r="AM402" s="120">
        <v>48.86</v>
      </c>
      <c r="AN402" s="118" t="s">
        <v>207</v>
      </c>
      <c r="AO402" s="120">
        <v>95.86</v>
      </c>
      <c r="AP402" s="120" t="s">
        <v>207</v>
      </c>
      <c r="AQ402" s="120">
        <v>123.45</v>
      </c>
      <c r="AR402" s="120" t="s">
        <v>207</v>
      </c>
      <c r="AS402" s="120">
        <v>137.29</v>
      </c>
      <c r="AT402" s="120" t="s">
        <v>207</v>
      </c>
      <c r="AU402" s="118">
        <f t="shared" si="27"/>
        <v>1202.67</v>
      </c>
      <c r="AV402" s="88"/>
      <c r="AW402" s="88"/>
      <c r="AX402" s="88"/>
      <c r="AY402" s="88"/>
      <c r="AZ402" s="88"/>
    </row>
    <row r="403" spans="1:52" s="90" customFormat="1" ht="15" customHeight="1" x14ac:dyDescent="0.3">
      <c r="A403" s="114">
        <v>392</v>
      </c>
      <c r="B403" s="174" t="s">
        <v>1084</v>
      </c>
      <c r="C403" s="291" t="s">
        <v>959</v>
      </c>
      <c r="D403" s="88"/>
      <c r="E403" s="88"/>
      <c r="F403" s="120" t="s">
        <v>958</v>
      </c>
      <c r="G403" s="25" t="s">
        <v>145</v>
      </c>
      <c r="H403" s="85" t="s">
        <v>146</v>
      </c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116"/>
      <c r="V403" s="120"/>
      <c r="W403" s="120"/>
      <c r="X403" s="120" t="s">
        <v>207</v>
      </c>
      <c r="Y403" s="120"/>
      <c r="Z403" s="120" t="s">
        <v>207</v>
      </c>
      <c r="AA403" s="120"/>
      <c r="AB403" s="120" t="s">
        <v>207</v>
      </c>
      <c r="AC403" s="120"/>
      <c r="AD403" s="120" t="s">
        <v>207</v>
      </c>
      <c r="AE403" s="120"/>
      <c r="AF403" s="120" t="s">
        <v>207</v>
      </c>
      <c r="AG403" s="120"/>
      <c r="AH403" s="120" t="s">
        <v>207</v>
      </c>
      <c r="AI403" s="120"/>
      <c r="AJ403" s="118" t="s">
        <v>207</v>
      </c>
      <c r="AK403" s="120"/>
      <c r="AL403" s="118" t="s">
        <v>207</v>
      </c>
      <c r="AM403" s="120"/>
      <c r="AN403" s="118" t="s">
        <v>207</v>
      </c>
      <c r="AO403" s="120"/>
      <c r="AP403" s="120" t="s">
        <v>207</v>
      </c>
      <c r="AQ403" s="120"/>
      <c r="AR403" s="120" t="s">
        <v>207</v>
      </c>
      <c r="AS403" s="120"/>
      <c r="AT403" s="120" t="s">
        <v>207</v>
      </c>
      <c r="AU403" s="118">
        <f t="shared" si="27"/>
        <v>0</v>
      </c>
      <c r="AV403" s="88"/>
      <c r="AW403" s="88"/>
      <c r="AX403" s="88"/>
      <c r="AY403" s="88"/>
      <c r="AZ403" s="88"/>
    </row>
    <row r="404" spans="1:52" s="90" customFormat="1" ht="15" customHeight="1" x14ac:dyDescent="0.3">
      <c r="A404" s="114">
        <v>393</v>
      </c>
      <c r="B404" s="174" t="s">
        <v>1085</v>
      </c>
      <c r="C404" s="291" t="s">
        <v>959</v>
      </c>
      <c r="D404" s="88"/>
      <c r="E404" s="88"/>
      <c r="F404" s="120" t="s">
        <v>958</v>
      </c>
      <c r="G404" s="25" t="s">
        <v>145</v>
      </c>
      <c r="H404" s="85" t="s">
        <v>146</v>
      </c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116">
        <v>1180</v>
      </c>
      <c r="V404" s="120">
        <v>1162.96</v>
      </c>
      <c r="W404" s="120">
        <v>140.69</v>
      </c>
      <c r="X404" s="120" t="s">
        <v>207</v>
      </c>
      <c r="Y404" s="120">
        <v>156.9</v>
      </c>
      <c r="Z404" s="120" t="s">
        <v>207</v>
      </c>
      <c r="AA404" s="120">
        <v>162.63999999999999</v>
      </c>
      <c r="AB404" s="120" t="s">
        <v>207</v>
      </c>
      <c r="AC404" s="120">
        <v>127.16</v>
      </c>
      <c r="AD404" s="120" t="s">
        <v>207</v>
      </c>
      <c r="AE404" s="120">
        <v>78.87</v>
      </c>
      <c r="AF404" s="120" t="s">
        <v>207</v>
      </c>
      <c r="AG404" s="120">
        <v>33.31</v>
      </c>
      <c r="AH404" s="120" t="s">
        <v>207</v>
      </c>
      <c r="AI404" s="120">
        <v>26.12</v>
      </c>
      <c r="AJ404" s="118" t="s">
        <v>207</v>
      </c>
      <c r="AK404" s="120">
        <v>26.96</v>
      </c>
      <c r="AL404" s="118" t="s">
        <v>207</v>
      </c>
      <c r="AM404" s="120">
        <v>22.63</v>
      </c>
      <c r="AN404" s="118" t="s">
        <v>207</v>
      </c>
      <c r="AO404" s="120">
        <v>93.23</v>
      </c>
      <c r="AP404" s="120" t="s">
        <v>207</v>
      </c>
      <c r="AQ404" s="120">
        <v>127.43</v>
      </c>
      <c r="AR404" s="120" t="s">
        <v>207</v>
      </c>
      <c r="AS404" s="120">
        <v>139.72999999999999</v>
      </c>
      <c r="AT404" s="120" t="s">
        <v>207</v>
      </c>
      <c r="AU404" s="118">
        <f t="shared" si="27"/>
        <v>1135.67</v>
      </c>
      <c r="AV404" s="88"/>
      <c r="AW404" s="88"/>
      <c r="AX404" s="88"/>
      <c r="AY404" s="88"/>
      <c r="AZ404" s="88"/>
    </row>
    <row r="405" spans="1:52" s="90" customFormat="1" ht="15" customHeight="1" x14ac:dyDescent="0.3">
      <c r="A405" s="114">
        <v>394</v>
      </c>
      <c r="B405" s="174" t="s">
        <v>1086</v>
      </c>
      <c r="C405" s="291" t="s">
        <v>959</v>
      </c>
      <c r="D405" s="88"/>
      <c r="E405" s="88"/>
      <c r="F405" s="120" t="s">
        <v>958</v>
      </c>
      <c r="G405" s="25" t="s">
        <v>145</v>
      </c>
      <c r="H405" s="85" t="s">
        <v>146</v>
      </c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116"/>
      <c r="V405" s="120"/>
      <c r="W405" s="120"/>
      <c r="X405" s="120" t="s">
        <v>207</v>
      </c>
      <c r="Y405" s="120"/>
      <c r="Z405" s="120" t="s">
        <v>207</v>
      </c>
      <c r="AA405" s="120"/>
      <c r="AB405" s="120" t="s">
        <v>207</v>
      </c>
      <c r="AC405" s="120"/>
      <c r="AD405" s="120" t="s">
        <v>207</v>
      </c>
      <c r="AE405" s="120"/>
      <c r="AF405" s="120" t="s">
        <v>207</v>
      </c>
      <c r="AG405" s="120"/>
      <c r="AH405" s="120" t="s">
        <v>207</v>
      </c>
      <c r="AI405" s="120"/>
      <c r="AJ405" s="118" t="s">
        <v>207</v>
      </c>
      <c r="AK405" s="120"/>
      <c r="AL405" s="118" t="s">
        <v>207</v>
      </c>
      <c r="AM405" s="120"/>
      <c r="AN405" s="118" t="s">
        <v>207</v>
      </c>
      <c r="AO405" s="120"/>
      <c r="AP405" s="120" t="s">
        <v>207</v>
      </c>
      <c r="AQ405" s="120"/>
      <c r="AR405" s="120" t="s">
        <v>207</v>
      </c>
      <c r="AS405" s="120"/>
      <c r="AT405" s="120" t="s">
        <v>207</v>
      </c>
      <c r="AU405" s="118">
        <f t="shared" si="27"/>
        <v>0</v>
      </c>
      <c r="AV405" s="88"/>
      <c r="AW405" s="88"/>
      <c r="AX405" s="88"/>
      <c r="AY405" s="88"/>
      <c r="AZ405" s="88"/>
    </row>
    <row r="406" spans="1:52" s="90" customFormat="1" ht="15" customHeight="1" x14ac:dyDescent="0.3">
      <c r="A406" s="114">
        <v>395</v>
      </c>
      <c r="B406" s="174" t="s">
        <v>1087</v>
      </c>
      <c r="C406" s="291" t="s">
        <v>959</v>
      </c>
      <c r="D406" s="88"/>
      <c r="E406" s="88"/>
      <c r="F406" s="120" t="s">
        <v>958</v>
      </c>
      <c r="G406" s="25" t="s">
        <v>145</v>
      </c>
      <c r="H406" s="85" t="s">
        <v>146</v>
      </c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116"/>
      <c r="V406" s="120"/>
      <c r="W406" s="120"/>
      <c r="X406" s="120" t="s">
        <v>207</v>
      </c>
      <c r="Y406" s="120"/>
      <c r="Z406" s="120" t="s">
        <v>207</v>
      </c>
      <c r="AA406" s="120"/>
      <c r="AB406" s="120" t="s">
        <v>207</v>
      </c>
      <c r="AC406" s="120"/>
      <c r="AD406" s="120" t="s">
        <v>207</v>
      </c>
      <c r="AE406" s="120"/>
      <c r="AF406" s="120" t="s">
        <v>207</v>
      </c>
      <c r="AG406" s="120"/>
      <c r="AH406" s="120" t="s">
        <v>207</v>
      </c>
      <c r="AI406" s="120"/>
      <c r="AJ406" s="118" t="s">
        <v>207</v>
      </c>
      <c r="AK406" s="120"/>
      <c r="AL406" s="118" t="s">
        <v>207</v>
      </c>
      <c r="AM406" s="120"/>
      <c r="AN406" s="118" t="s">
        <v>207</v>
      </c>
      <c r="AO406" s="120"/>
      <c r="AP406" s="120" t="s">
        <v>207</v>
      </c>
      <c r="AQ406" s="120"/>
      <c r="AR406" s="120" t="s">
        <v>207</v>
      </c>
      <c r="AS406" s="120"/>
      <c r="AT406" s="120" t="s">
        <v>207</v>
      </c>
      <c r="AU406" s="118">
        <f t="shared" si="27"/>
        <v>0</v>
      </c>
      <c r="AV406" s="88"/>
      <c r="AW406" s="88"/>
      <c r="AX406" s="88"/>
      <c r="AY406" s="88"/>
      <c r="AZ406" s="88"/>
    </row>
    <row r="407" spans="1:52" s="90" customFormat="1" ht="15" customHeight="1" x14ac:dyDescent="0.3">
      <c r="A407" s="114">
        <v>396</v>
      </c>
      <c r="B407" s="174" t="s">
        <v>1088</v>
      </c>
      <c r="C407" s="291" t="s">
        <v>959</v>
      </c>
      <c r="D407" s="88"/>
      <c r="E407" s="88"/>
      <c r="F407" s="120" t="s">
        <v>958</v>
      </c>
      <c r="G407" s="25" t="s">
        <v>145</v>
      </c>
      <c r="H407" s="85" t="s">
        <v>146</v>
      </c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116">
        <v>867.18</v>
      </c>
      <c r="V407" s="120">
        <v>905.13</v>
      </c>
      <c r="W407" s="120">
        <v>114.54</v>
      </c>
      <c r="X407" s="120" t="s">
        <v>207</v>
      </c>
      <c r="Y407" s="120">
        <v>118.89</v>
      </c>
      <c r="Z407" s="120" t="s">
        <v>207</v>
      </c>
      <c r="AA407" s="120">
        <v>110.02</v>
      </c>
      <c r="AB407" s="120" t="s">
        <v>207</v>
      </c>
      <c r="AC407" s="120">
        <v>88.05</v>
      </c>
      <c r="AD407" s="120" t="s">
        <v>207</v>
      </c>
      <c r="AE407" s="120">
        <v>47.57</v>
      </c>
      <c r="AF407" s="120" t="s">
        <v>207</v>
      </c>
      <c r="AG407" s="120">
        <v>17.809999999999999</v>
      </c>
      <c r="AH407" s="120" t="s">
        <v>207</v>
      </c>
      <c r="AI407" s="120">
        <v>11.74</v>
      </c>
      <c r="AJ407" s="118" t="s">
        <v>207</v>
      </c>
      <c r="AK407" s="120">
        <v>15.54</v>
      </c>
      <c r="AL407" s="118" t="s">
        <v>207</v>
      </c>
      <c r="AM407" s="120">
        <v>25.69</v>
      </c>
      <c r="AN407" s="118" t="s">
        <v>207</v>
      </c>
      <c r="AO407" s="120">
        <v>60.62</v>
      </c>
      <c r="AP407" s="120" t="s">
        <v>207</v>
      </c>
      <c r="AQ407" s="120">
        <v>79.14</v>
      </c>
      <c r="AR407" s="120" t="s">
        <v>207</v>
      </c>
      <c r="AS407" s="120">
        <v>85.54</v>
      </c>
      <c r="AT407" s="120" t="s">
        <v>207</v>
      </c>
      <c r="AU407" s="118">
        <f t="shared" si="27"/>
        <v>775.15</v>
      </c>
      <c r="AV407" s="88"/>
      <c r="AW407" s="88"/>
      <c r="AX407" s="88"/>
      <c r="AY407" s="88"/>
      <c r="AZ407" s="88"/>
    </row>
    <row r="408" spans="1:52" s="90" customFormat="1" ht="15" customHeight="1" x14ac:dyDescent="0.3">
      <c r="A408" s="114">
        <v>397</v>
      </c>
      <c r="B408" s="174" t="s">
        <v>1089</v>
      </c>
      <c r="C408" s="291" t="s">
        <v>959</v>
      </c>
      <c r="D408" s="88"/>
      <c r="E408" s="88"/>
      <c r="F408" s="120" t="s">
        <v>958</v>
      </c>
      <c r="G408" s="25" t="s">
        <v>145</v>
      </c>
      <c r="H408" s="85" t="s">
        <v>146</v>
      </c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116"/>
      <c r="V408" s="120"/>
      <c r="W408" s="120"/>
      <c r="X408" s="120" t="s">
        <v>207</v>
      </c>
      <c r="Y408" s="120"/>
      <c r="Z408" s="120" t="s">
        <v>207</v>
      </c>
      <c r="AA408" s="120"/>
      <c r="AB408" s="120" t="s">
        <v>207</v>
      </c>
      <c r="AC408" s="120"/>
      <c r="AD408" s="120" t="s">
        <v>207</v>
      </c>
      <c r="AE408" s="120"/>
      <c r="AF408" s="120" t="s">
        <v>207</v>
      </c>
      <c r="AG408" s="120"/>
      <c r="AH408" s="120" t="s">
        <v>207</v>
      </c>
      <c r="AI408" s="120"/>
      <c r="AJ408" s="118" t="s">
        <v>207</v>
      </c>
      <c r="AK408" s="120"/>
      <c r="AL408" s="118" t="s">
        <v>207</v>
      </c>
      <c r="AM408" s="120"/>
      <c r="AN408" s="118" t="s">
        <v>207</v>
      </c>
      <c r="AO408" s="120"/>
      <c r="AP408" s="120" t="s">
        <v>207</v>
      </c>
      <c r="AQ408" s="120"/>
      <c r="AR408" s="120" t="s">
        <v>207</v>
      </c>
      <c r="AS408" s="120"/>
      <c r="AT408" s="120" t="s">
        <v>207</v>
      </c>
      <c r="AU408" s="118">
        <f t="shared" si="27"/>
        <v>0</v>
      </c>
      <c r="AV408" s="88"/>
      <c r="AW408" s="88"/>
      <c r="AX408" s="88"/>
      <c r="AY408" s="88"/>
      <c r="AZ408" s="88"/>
    </row>
    <row r="409" spans="1:52" s="90" customFormat="1" ht="15" customHeight="1" x14ac:dyDescent="0.3">
      <c r="A409" s="114">
        <v>398</v>
      </c>
      <c r="B409" s="174" t="s">
        <v>1090</v>
      </c>
      <c r="C409" s="120" t="s">
        <v>804</v>
      </c>
      <c r="D409" s="88"/>
      <c r="E409" s="88"/>
      <c r="F409" s="120" t="s">
        <v>958</v>
      </c>
      <c r="G409" s="25" t="s">
        <v>145</v>
      </c>
      <c r="H409" s="85" t="s">
        <v>146</v>
      </c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116">
        <v>14638.29</v>
      </c>
      <c r="V409" s="120">
        <f>908.23+8861.1+8774.81</f>
        <v>18544.14</v>
      </c>
      <c r="W409" s="120">
        <v>1150.23</v>
      </c>
      <c r="X409" s="120" t="s">
        <v>207</v>
      </c>
      <c r="Y409" s="120">
        <v>866.07</v>
      </c>
      <c r="Z409" s="120" t="s">
        <v>207</v>
      </c>
      <c r="AA409" s="120">
        <v>1124.1500000000001</v>
      </c>
      <c r="AB409" s="120" t="s">
        <v>207</v>
      </c>
      <c r="AC409" s="120">
        <v>701.21</v>
      </c>
      <c r="AD409" s="120" t="s">
        <v>207</v>
      </c>
      <c r="AE409" s="120">
        <v>241.92</v>
      </c>
      <c r="AF409" s="120" t="s">
        <v>207</v>
      </c>
      <c r="AG409" s="120">
        <v>86.43</v>
      </c>
      <c r="AH409" s="120" t="s">
        <v>207</v>
      </c>
      <c r="AI409" s="120">
        <v>64.66</v>
      </c>
      <c r="AJ409" s="118" t="s">
        <v>207</v>
      </c>
      <c r="AK409" s="120">
        <v>114.29</v>
      </c>
      <c r="AL409" s="118" t="s">
        <v>207</v>
      </c>
      <c r="AM409" s="120">
        <v>122.06</v>
      </c>
      <c r="AN409" s="118" t="s">
        <v>207</v>
      </c>
      <c r="AO409" s="120">
        <v>884.47</v>
      </c>
      <c r="AP409" s="120" t="s">
        <v>207</v>
      </c>
      <c r="AQ409" s="120">
        <v>803.56</v>
      </c>
      <c r="AR409" s="120" t="s">
        <v>207</v>
      </c>
      <c r="AS409" s="120">
        <v>976.36</v>
      </c>
      <c r="AT409" s="120" t="s">
        <v>207</v>
      </c>
      <c r="AU409" s="118">
        <f t="shared" si="27"/>
        <v>7135.4100000000008</v>
      </c>
      <c r="AV409" s="88"/>
      <c r="AW409" s="88"/>
      <c r="AX409" s="88"/>
      <c r="AY409" s="88"/>
      <c r="AZ409" s="88"/>
    </row>
    <row r="410" spans="1:52" s="90" customFormat="1" ht="15" customHeight="1" x14ac:dyDescent="0.3">
      <c r="A410" s="114">
        <v>399</v>
      </c>
      <c r="B410" s="174" t="s">
        <v>1091</v>
      </c>
      <c r="C410" s="120" t="s">
        <v>804</v>
      </c>
      <c r="D410" s="88"/>
      <c r="E410" s="88"/>
      <c r="F410" s="120" t="s">
        <v>958</v>
      </c>
      <c r="G410" s="25" t="s">
        <v>145</v>
      </c>
      <c r="H410" s="85" t="s">
        <v>146</v>
      </c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116"/>
      <c r="V410" s="120"/>
      <c r="W410" s="120">
        <v>0</v>
      </c>
      <c r="X410" s="120" t="s">
        <v>207</v>
      </c>
      <c r="Y410" s="120">
        <v>0</v>
      </c>
      <c r="Z410" s="120" t="s">
        <v>207</v>
      </c>
      <c r="AA410" s="120">
        <v>0</v>
      </c>
      <c r="AB410" s="120" t="s">
        <v>207</v>
      </c>
      <c r="AC410" s="120">
        <v>0</v>
      </c>
      <c r="AD410" s="120" t="s">
        <v>207</v>
      </c>
      <c r="AE410" s="120">
        <v>1398.25</v>
      </c>
      <c r="AF410" s="120" t="s">
        <v>207</v>
      </c>
      <c r="AG410" s="120">
        <v>31.14</v>
      </c>
      <c r="AH410" s="120" t="s">
        <v>207</v>
      </c>
      <c r="AI410" s="120">
        <v>27.92</v>
      </c>
      <c r="AJ410" s="118" t="s">
        <v>207</v>
      </c>
      <c r="AK410" s="120">
        <v>27.99</v>
      </c>
      <c r="AL410" s="118" t="s">
        <v>207</v>
      </c>
      <c r="AM410" s="120">
        <v>31.67</v>
      </c>
      <c r="AN410" s="118" t="s">
        <v>207</v>
      </c>
      <c r="AO410" s="120">
        <v>151.72</v>
      </c>
      <c r="AP410" s="120" t="s">
        <v>207</v>
      </c>
      <c r="AQ410" s="120">
        <v>277.8</v>
      </c>
      <c r="AR410" s="120" t="s">
        <v>207</v>
      </c>
      <c r="AS410" s="120">
        <v>287.06</v>
      </c>
      <c r="AT410" s="120" t="s">
        <v>207</v>
      </c>
      <c r="AU410" s="118">
        <f t="shared" si="27"/>
        <v>2233.5500000000002</v>
      </c>
      <c r="AV410" s="88"/>
      <c r="AW410" s="88"/>
      <c r="AX410" s="88"/>
      <c r="AY410" s="88"/>
      <c r="AZ410" s="88"/>
    </row>
    <row r="411" spans="1:52" s="90" customFormat="1" ht="15" customHeight="1" x14ac:dyDescent="0.3">
      <c r="A411" s="114">
        <v>400</v>
      </c>
      <c r="B411" s="174" t="s">
        <v>1092</v>
      </c>
      <c r="C411" s="120" t="s">
        <v>804</v>
      </c>
      <c r="D411" s="88"/>
      <c r="E411" s="88"/>
      <c r="F411" s="120" t="s">
        <v>958</v>
      </c>
      <c r="G411" s="25" t="s">
        <v>145</v>
      </c>
      <c r="H411" s="85" t="s">
        <v>146</v>
      </c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116">
        <v>1498.56</v>
      </c>
      <c r="V411" s="120">
        <v>1543.94</v>
      </c>
      <c r="W411" s="120">
        <v>259.66000000000003</v>
      </c>
      <c r="X411" s="120" t="s">
        <v>207</v>
      </c>
      <c r="Y411" s="120">
        <v>216.38</v>
      </c>
      <c r="Z411" s="120" t="s">
        <v>207</v>
      </c>
      <c r="AA411" s="120">
        <v>176.13</v>
      </c>
      <c r="AB411" s="120" t="s">
        <v>207</v>
      </c>
      <c r="AC411" s="120">
        <v>41.11</v>
      </c>
      <c r="AD411" s="120" t="s">
        <v>207</v>
      </c>
      <c r="AE411" s="120">
        <v>32.450000000000003</v>
      </c>
      <c r="AF411" s="120" t="s">
        <v>207</v>
      </c>
      <c r="AG411" s="120">
        <v>30.75</v>
      </c>
      <c r="AH411" s="120" t="s">
        <v>207</v>
      </c>
      <c r="AI411" s="120">
        <v>29.35</v>
      </c>
      <c r="AJ411" s="118" t="s">
        <v>207</v>
      </c>
      <c r="AK411" s="120">
        <v>82.18</v>
      </c>
      <c r="AL411" s="118" t="s">
        <v>207</v>
      </c>
      <c r="AM411" s="120">
        <v>238.32</v>
      </c>
      <c r="AN411" s="118" t="s">
        <v>207</v>
      </c>
      <c r="AO411" s="120">
        <v>214.49</v>
      </c>
      <c r="AP411" s="120" t="s">
        <v>207</v>
      </c>
      <c r="AQ411" s="120">
        <v>193.04</v>
      </c>
      <c r="AR411" s="120" t="s">
        <v>207</v>
      </c>
      <c r="AS411" s="120">
        <v>270.26</v>
      </c>
      <c r="AT411" s="120" t="s">
        <v>207</v>
      </c>
      <c r="AU411" s="118">
        <f t="shared" si="27"/>
        <v>1784.1200000000001</v>
      </c>
      <c r="AV411" s="88"/>
      <c r="AW411" s="88"/>
      <c r="AX411" s="88"/>
      <c r="AY411" s="88"/>
      <c r="AZ411" s="88"/>
    </row>
    <row r="412" spans="1:52" s="90" customFormat="1" ht="15" customHeight="1" x14ac:dyDescent="0.3">
      <c r="A412" s="114">
        <v>401</v>
      </c>
      <c r="B412" s="174" t="s">
        <v>1093</v>
      </c>
      <c r="C412" s="120" t="s">
        <v>804</v>
      </c>
      <c r="D412" s="88"/>
      <c r="E412" s="88"/>
      <c r="F412" s="120" t="s">
        <v>958</v>
      </c>
      <c r="G412" s="25" t="s">
        <v>145</v>
      </c>
      <c r="H412" s="85" t="s">
        <v>146</v>
      </c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116">
        <v>2100.5100000000002</v>
      </c>
      <c r="V412" s="120">
        <v>2697.37</v>
      </c>
      <c r="W412" s="120">
        <v>253.92</v>
      </c>
      <c r="X412" s="120" t="s">
        <v>207</v>
      </c>
      <c r="Y412" s="120">
        <v>211.6</v>
      </c>
      <c r="Z412" s="120" t="s">
        <v>207</v>
      </c>
      <c r="AA412" s="120">
        <v>171.35</v>
      </c>
      <c r="AB412" s="120" t="s">
        <v>207</v>
      </c>
      <c r="AC412" s="120">
        <v>46.75</v>
      </c>
      <c r="AD412" s="120" t="s">
        <v>207</v>
      </c>
      <c r="AE412" s="120">
        <v>42.08</v>
      </c>
      <c r="AF412" s="120" t="s">
        <v>207</v>
      </c>
      <c r="AG412" s="120">
        <v>40.380000000000003</v>
      </c>
      <c r="AH412" s="120" t="s">
        <v>207</v>
      </c>
      <c r="AI412" s="120">
        <v>38.979999999999997</v>
      </c>
      <c r="AJ412" s="118" t="s">
        <v>207</v>
      </c>
      <c r="AK412" s="120">
        <v>109.14</v>
      </c>
      <c r="AL412" s="118" t="s">
        <v>207</v>
      </c>
      <c r="AM412" s="120">
        <v>316.52</v>
      </c>
      <c r="AN412" s="118" t="s">
        <v>207</v>
      </c>
      <c r="AO412" s="120">
        <v>284.87</v>
      </c>
      <c r="AP412" s="120" t="s">
        <v>207</v>
      </c>
      <c r="AQ412" s="120">
        <v>256.38</v>
      </c>
      <c r="AR412" s="120" t="s">
        <v>207</v>
      </c>
      <c r="AS412" s="120">
        <v>358.93</v>
      </c>
      <c r="AT412" s="120" t="s">
        <v>207</v>
      </c>
      <c r="AU412" s="118">
        <f t="shared" si="27"/>
        <v>2130.9</v>
      </c>
      <c r="AV412" s="88"/>
      <c r="AW412" s="88"/>
      <c r="AX412" s="88"/>
      <c r="AY412" s="88"/>
      <c r="AZ412" s="88"/>
    </row>
    <row r="413" spans="1:52" s="90" customFormat="1" ht="15" customHeight="1" x14ac:dyDescent="0.3">
      <c r="A413" s="114">
        <v>402</v>
      </c>
      <c r="B413" s="174" t="s">
        <v>1094</v>
      </c>
      <c r="C413" s="120" t="s">
        <v>960</v>
      </c>
      <c r="D413" s="88"/>
      <c r="E413" s="88"/>
      <c r="F413" s="120" t="s">
        <v>958</v>
      </c>
      <c r="G413" s="25" t="s">
        <v>145</v>
      </c>
      <c r="H413" s="85" t="s">
        <v>146</v>
      </c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116"/>
      <c r="V413" s="120"/>
      <c r="W413" s="120"/>
      <c r="X413" s="120" t="s">
        <v>207</v>
      </c>
      <c r="Y413" s="120"/>
      <c r="Z413" s="120" t="s">
        <v>207</v>
      </c>
      <c r="AA413" s="120"/>
      <c r="AB413" s="120" t="s">
        <v>207</v>
      </c>
      <c r="AC413" s="120"/>
      <c r="AD413" s="120" t="s">
        <v>207</v>
      </c>
      <c r="AE413" s="120"/>
      <c r="AF413" s="120" t="s">
        <v>207</v>
      </c>
      <c r="AG413" s="120"/>
      <c r="AH413" s="120" t="s">
        <v>207</v>
      </c>
      <c r="AI413" s="120"/>
      <c r="AJ413" s="118" t="s">
        <v>207</v>
      </c>
      <c r="AK413" s="120"/>
      <c r="AL413" s="118" t="s">
        <v>207</v>
      </c>
      <c r="AM413" s="120"/>
      <c r="AN413" s="118" t="s">
        <v>207</v>
      </c>
      <c r="AO413" s="120"/>
      <c r="AP413" s="120" t="s">
        <v>207</v>
      </c>
      <c r="AQ413" s="120"/>
      <c r="AR413" s="120" t="s">
        <v>207</v>
      </c>
      <c r="AS413" s="120"/>
      <c r="AT413" s="120" t="s">
        <v>207</v>
      </c>
      <c r="AU413" s="118">
        <f t="shared" si="27"/>
        <v>0</v>
      </c>
      <c r="AV413" s="88"/>
      <c r="AW413" s="88"/>
      <c r="AX413" s="88"/>
      <c r="AY413" s="88"/>
      <c r="AZ413" s="88"/>
    </row>
    <row r="414" spans="1:52" s="90" customFormat="1" ht="15" customHeight="1" x14ac:dyDescent="0.3">
      <c r="A414" s="114">
        <v>403</v>
      </c>
      <c r="B414" s="174" t="s">
        <v>1095</v>
      </c>
      <c r="C414" s="120" t="s">
        <v>960</v>
      </c>
      <c r="D414" s="88"/>
      <c r="E414" s="88"/>
      <c r="F414" s="120" t="s">
        <v>958</v>
      </c>
      <c r="G414" s="25" t="s">
        <v>145</v>
      </c>
      <c r="H414" s="85" t="s">
        <v>146</v>
      </c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116"/>
      <c r="V414" s="120"/>
      <c r="W414" s="120"/>
      <c r="X414" s="120" t="s">
        <v>207</v>
      </c>
      <c r="Y414" s="120"/>
      <c r="Z414" s="120" t="s">
        <v>207</v>
      </c>
      <c r="AA414" s="120"/>
      <c r="AB414" s="120" t="s">
        <v>207</v>
      </c>
      <c r="AC414" s="120"/>
      <c r="AD414" s="120" t="s">
        <v>207</v>
      </c>
      <c r="AE414" s="120"/>
      <c r="AF414" s="120" t="s">
        <v>207</v>
      </c>
      <c r="AG414" s="120"/>
      <c r="AH414" s="120" t="s">
        <v>207</v>
      </c>
      <c r="AI414" s="120"/>
      <c r="AJ414" s="118" t="s">
        <v>207</v>
      </c>
      <c r="AK414" s="120"/>
      <c r="AL414" s="118" t="s">
        <v>207</v>
      </c>
      <c r="AM414" s="120"/>
      <c r="AN414" s="118" t="s">
        <v>207</v>
      </c>
      <c r="AO414" s="120"/>
      <c r="AP414" s="120" t="s">
        <v>207</v>
      </c>
      <c r="AQ414" s="120"/>
      <c r="AR414" s="120" t="s">
        <v>207</v>
      </c>
      <c r="AS414" s="120"/>
      <c r="AT414" s="120" t="s">
        <v>207</v>
      </c>
      <c r="AU414" s="118">
        <f t="shared" si="27"/>
        <v>0</v>
      </c>
      <c r="AV414" s="88"/>
      <c r="AW414" s="88"/>
      <c r="AX414" s="88"/>
      <c r="AY414" s="88"/>
      <c r="AZ414" s="88"/>
    </row>
    <row r="415" spans="1:52" s="90" customFormat="1" ht="15" customHeight="1" x14ac:dyDescent="0.3">
      <c r="A415" s="114">
        <v>404</v>
      </c>
      <c r="B415" s="174" t="s">
        <v>1096</v>
      </c>
      <c r="C415" s="120" t="s">
        <v>960</v>
      </c>
      <c r="D415" s="88"/>
      <c r="E415" s="88"/>
      <c r="F415" s="120" t="s">
        <v>958</v>
      </c>
      <c r="G415" s="25" t="s">
        <v>145</v>
      </c>
      <c r="H415" s="85" t="s">
        <v>146</v>
      </c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116"/>
      <c r="V415" s="120"/>
      <c r="W415" s="120"/>
      <c r="X415" s="120" t="s">
        <v>207</v>
      </c>
      <c r="Y415" s="120"/>
      <c r="Z415" s="120" t="s">
        <v>207</v>
      </c>
      <c r="AA415" s="120"/>
      <c r="AB415" s="120" t="s">
        <v>207</v>
      </c>
      <c r="AC415" s="120"/>
      <c r="AD415" s="120" t="s">
        <v>207</v>
      </c>
      <c r="AE415" s="120"/>
      <c r="AF415" s="120" t="s">
        <v>207</v>
      </c>
      <c r="AG415" s="120"/>
      <c r="AH415" s="120" t="s">
        <v>207</v>
      </c>
      <c r="AI415" s="120"/>
      <c r="AJ415" s="118" t="s">
        <v>207</v>
      </c>
      <c r="AK415" s="120"/>
      <c r="AL415" s="118" t="s">
        <v>207</v>
      </c>
      <c r="AM415" s="120"/>
      <c r="AN415" s="118" t="s">
        <v>207</v>
      </c>
      <c r="AO415" s="120"/>
      <c r="AP415" s="120" t="s">
        <v>207</v>
      </c>
      <c r="AQ415" s="120"/>
      <c r="AR415" s="120" t="s">
        <v>207</v>
      </c>
      <c r="AS415" s="120"/>
      <c r="AT415" s="120" t="s">
        <v>207</v>
      </c>
      <c r="AU415" s="118">
        <f t="shared" si="27"/>
        <v>0</v>
      </c>
      <c r="AV415" s="88"/>
      <c r="AW415" s="88"/>
      <c r="AX415" s="88"/>
      <c r="AY415" s="88"/>
      <c r="AZ415" s="88"/>
    </row>
    <row r="416" spans="1:52" s="90" customFormat="1" ht="15" customHeight="1" x14ac:dyDescent="0.3">
      <c r="A416" s="114">
        <v>405</v>
      </c>
      <c r="B416" s="174" t="s">
        <v>1097</v>
      </c>
      <c r="C416" s="120" t="s">
        <v>960</v>
      </c>
      <c r="D416" s="88"/>
      <c r="E416" s="88"/>
      <c r="F416" s="120" t="s">
        <v>958</v>
      </c>
      <c r="G416" s="25" t="s">
        <v>145</v>
      </c>
      <c r="H416" s="85" t="s">
        <v>146</v>
      </c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116"/>
      <c r="V416" s="120"/>
      <c r="W416" s="120"/>
      <c r="X416" s="120" t="s">
        <v>207</v>
      </c>
      <c r="Y416" s="120"/>
      <c r="Z416" s="120" t="s">
        <v>207</v>
      </c>
      <c r="AA416" s="120"/>
      <c r="AB416" s="120" t="s">
        <v>207</v>
      </c>
      <c r="AC416" s="120"/>
      <c r="AD416" s="120" t="s">
        <v>207</v>
      </c>
      <c r="AE416" s="120"/>
      <c r="AF416" s="120" t="s">
        <v>207</v>
      </c>
      <c r="AG416" s="120"/>
      <c r="AH416" s="120" t="s">
        <v>207</v>
      </c>
      <c r="AI416" s="120"/>
      <c r="AJ416" s="118" t="s">
        <v>207</v>
      </c>
      <c r="AK416" s="120"/>
      <c r="AL416" s="118" t="s">
        <v>207</v>
      </c>
      <c r="AM416" s="120"/>
      <c r="AN416" s="118" t="s">
        <v>207</v>
      </c>
      <c r="AO416" s="120"/>
      <c r="AP416" s="120" t="s">
        <v>207</v>
      </c>
      <c r="AQ416" s="120"/>
      <c r="AR416" s="120" t="s">
        <v>207</v>
      </c>
      <c r="AS416" s="120"/>
      <c r="AT416" s="120" t="s">
        <v>207</v>
      </c>
      <c r="AU416" s="118">
        <f t="shared" si="27"/>
        <v>0</v>
      </c>
      <c r="AV416" s="88"/>
      <c r="AW416" s="88"/>
      <c r="AX416" s="88"/>
      <c r="AY416" s="88"/>
      <c r="AZ416" s="88"/>
    </row>
    <row r="417" spans="1:52" s="90" customFormat="1" ht="15" customHeight="1" x14ac:dyDescent="0.3">
      <c r="A417" s="114">
        <v>406</v>
      </c>
      <c r="B417" s="174" t="s">
        <v>1098</v>
      </c>
      <c r="C417" s="120" t="s">
        <v>960</v>
      </c>
      <c r="D417" s="88"/>
      <c r="E417" s="88"/>
      <c r="F417" s="120" t="s">
        <v>958</v>
      </c>
      <c r="G417" s="25" t="s">
        <v>145</v>
      </c>
      <c r="H417" s="85" t="s">
        <v>146</v>
      </c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116"/>
      <c r="V417" s="120"/>
      <c r="W417" s="120"/>
      <c r="X417" s="120" t="s">
        <v>207</v>
      </c>
      <c r="Y417" s="120"/>
      <c r="Z417" s="120" t="s">
        <v>207</v>
      </c>
      <c r="AA417" s="120"/>
      <c r="AB417" s="120" t="s">
        <v>207</v>
      </c>
      <c r="AC417" s="120"/>
      <c r="AD417" s="120" t="s">
        <v>207</v>
      </c>
      <c r="AE417" s="120"/>
      <c r="AF417" s="120" t="s">
        <v>207</v>
      </c>
      <c r="AG417" s="120"/>
      <c r="AH417" s="120" t="s">
        <v>207</v>
      </c>
      <c r="AI417" s="120"/>
      <c r="AJ417" s="118" t="s">
        <v>207</v>
      </c>
      <c r="AK417" s="120"/>
      <c r="AL417" s="118" t="s">
        <v>207</v>
      </c>
      <c r="AM417" s="120"/>
      <c r="AN417" s="118" t="s">
        <v>207</v>
      </c>
      <c r="AO417" s="120"/>
      <c r="AP417" s="120" t="s">
        <v>207</v>
      </c>
      <c r="AQ417" s="120"/>
      <c r="AR417" s="120" t="s">
        <v>207</v>
      </c>
      <c r="AS417" s="120"/>
      <c r="AT417" s="120" t="s">
        <v>207</v>
      </c>
      <c r="AU417" s="118">
        <f t="shared" si="27"/>
        <v>0</v>
      </c>
      <c r="AV417" s="88"/>
      <c r="AW417" s="88"/>
      <c r="AX417" s="88"/>
      <c r="AY417" s="88"/>
      <c r="AZ417" s="88"/>
    </row>
    <row r="418" spans="1:52" s="90" customFormat="1" ht="15" customHeight="1" x14ac:dyDescent="0.3">
      <c r="A418" s="114">
        <v>407</v>
      </c>
      <c r="B418" s="174" t="s">
        <v>1099</v>
      </c>
      <c r="C418" s="120" t="s">
        <v>960</v>
      </c>
      <c r="D418" s="88"/>
      <c r="E418" s="88"/>
      <c r="F418" s="120" t="s">
        <v>958</v>
      </c>
      <c r="G418" s="25" t="s">
        <v>145</v>
      </c>
      <c r="H418" s="85" t="s">
        <v>146</v>
      </c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116"/>
      <c r="V418" s="120"/>
      <c r="W418" s="120"/>
      <c r="X418" s="120" t="s">
        <v>207</v>
      </c>
      <c r="Y418" s="120"/>
      <c r="Z418" s="120" t="s">
        <v>207</v>
      </c>
      <c r="AA418" s="120"/>
      <c r="AB418" s="120" t="s">
        <v>207</v>
      </c>
      <c r="AC418" s="120"/>
      <c r="AD418" s="120" t="s">
        <v>207</v>
      </c>
      <c r="AE418" s="120"/>
      <c r="AF418" s="120" t="s">
        <v>207</v>
      </c>
      <c r="AG418" s="120"/>
      <c r="AH418" s="120" t="s">
        <v>207</v>
      </c>
      <c r="AI418" s="120"/>
      <c r="AJ418" s="118" t="s">
        <v>207</v>
      </c>
      <c r="AK418" s="120"/>
      <c r="AL418" s="118" t="s">
        <v>207</v>
      </c>
      <c r="AM418" s="120"/>
      <c r="AN418" s="118" t="s">
        <v>207</v>
      </c>
      <c r="AO418" s="120"/>
      <c r="AP418" s="120" t="s">
        <v>207</v>
      </c>
      <c r="AQ418" s="120"/>
      <c r="AR418" s="120" t="s">
        <v>207</v>
      </c>
      <c r="AS418" s="120"/>
      <c r="AT418" s="120" t="s">
        <v>207</v>
      </c>
      <c r="AU418" s="118">
        <f t="shared" si="27"/>
        <v>0</v>
      </c>
      <c r="AV418" s="88"/>
      <c r="AW418" s="88"/>
      <c r="AX418" s="88"/>
      <c r="AY418" s="88"/>
      <c r="AZ418" s="88"/>
    </row>
    <row r="419" spans="1:52" s="90" customFormat="1" ht="15" customHeight="1" x14ac:dyDescent="0.3">
      <c r="A419" s="114">
        <v>408</v>
      </c>
      <c r="B419" s="174" t="s">
        <v>1100</v>
      </c>
      <c r="C419" s="120" t="s">
        <v>960</v>
      </c>
      <c r="D419" s="88"/>
      <c r="E419" s="88"/>
      <c r="F419" s="120" t="s">
        <v>958</v>
      </c>
      <c r="G419" s="25" t="s">
        <v>145</v>
      </c>
      <c r="H419" s="85" t="s">
        <v>146</v>
      </c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116"/>
      <c r="V419" s="120"/>
      <c r="W419" s="120"/>
      <c r="X419" s="120" t="s">
        <v>207</v>
      </c>
      <c r="Y419" s="120"/>
      <c r="Z419" s="120" t="s">
        <v>207</v>
      </c>
      <c r="AA419" s="120"/>
      <c r="AB419" s="120" t="s">
        <v>207</v>
      </c>
      <c r="AC419" s="120"/>
      <c r="AD419" s="120" t="s">
        <v>207</v>
      </c>
      <c r="AE419" s="120"/>
      <c r="AF419" s="120" t="s">
        <v>207</v>
      </c>
      <c r="AG419" s="120"/>
      <c r="AH419" s="120" t="s">
        <v>207</v>
      </c>
      <c r="AI419" s="120"/>
      <c r="AJ419" s="118" t="s">
        <v>207</v>
      </c>
      <c r="AK419" s="120"/>
      <c r="AL419" s="118" t="s">
        <v>207</v>
      </c>
      <c r="AM419" s="120"/>
      <c r="AN419" s="118" t="s">
        <v>207</v>
      </c>
      <c r="AO419" s="120"/>
      <c r="AP419" s="120" t="s">
        <v>207</v>
      </c>
      <c r="AQ419" s="120"/>
      <c r="AR419" s="120" t="s">
        <v>207</v>
      </c>
      <c r="AS419" s="120"/>
      <c r="AT419" s="120" t="s">
        <v>207</v>
      </c>
      <c r="AU419" s="118">
        <f t="shared" si="27"/>
        <v>0</v>
      </c>
      <c r="AV419" s="88"/>
      <c r="AW419" s="88"/>
      <c r="AX419" s="88"/>
      <c r="AY419" s="88"/>
      <c r="AZ419" s="88"/>
    </row>
    <row r="420" spans="1:52" s="90" customFormat="1" ht="15" customHeight="1" x14ac:dyDescent="0.3">
      <c r="A420" s="114">
        <v>409</v>
      </c>
      <c r="B420" s="174" t="s">
        <v>1101</v>
      </c>
      <c r="C420" s="120" t="s">
        <v>959</v>
      </c>
      <c r="D420" s="88"/>
      <c r="E420" s="88"/>
      <c r="F420" s="120" t="s">
        <v>958</v>
      </c>
      <c r="G420" s="25" t="s">
        <v>145</v>
      </c>
      <c r="H420" s="85" t="s">
        <v>146</v>
      </c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116">
        <v>252.92</v>
      </c>
      <c r="V420" s="120">
        <v>280.14999999999998</v>
      </c>
      <c r="W420" s="120">
        <v>52.92</v>
      </c>
      <c r="X420" s="120" t="s">
        <v>207</v>
      </c>
      <c r="Y420" s="120">
        <v>44.34</v>
      </c>
      <c r="Z420" s="120" t="s">
        <v>207</v>
      </c>
      <c r="AA420" s="120">
        <v>39.590000000000003</v>
      </c>
      <c r="AB420" s="120" t="s">
        <v>207</v>
      </c>
      <c r="AC420" s="120">
        <v>29.92</v>
      </c>
      <c r="AD420" s="120" t="s">
        <v>207</v>
      </c>
      <c r="AE420" s="120">
        <v>7.26</v>
      </c>
      <c r="AF420" s="120" t="s">
        <v>207</v>
      </c>
      <c r="AG420" s="120">
        <v>0</v>
      </c>
      <c r="AH420" s="120" t="s">
        <v>207</v>
      </c>
      <c r="AI420" s="120">
        <v>0</v>
      </c>
      <c r="AJ420" s="118" t="s">
        <v>207</v>
      </c>
      <c r="AK420" s="120">
        <v>0</v>
      </c>
      <c r="AL420" s="118" t="s">
        <v>207</v>
      </c>
      <c r="AM420" s="120">
        <v>1.0900000000000001</v>
      </c>
      <c r="AN420" s="118" t="s">
        <v>207</v>
      </c>
      <c r="AO420" s="120">
        <v>20.11</v>
      </c>
      <c r="AP420" s="120" t="s">
        <v>207</v>
      </c>
      <c r="AQ420" s="120">
        <v>27.23</v>
      </c>
      <c r="AR420" s="120" t="s">
        <v>207</v>
      </c>
      <c r="AS420" s="120">
        <v>30.46</v>
      </c>
      <c r="AT420" s="120" t="s">
        <v>207</v>
      </c>
      <c r="AU420" s="118">
        <f t="shared" si="27"/>
        <v>252.92000000000002</v>
      </c>
      <c r="AV420" s="88"/>
      <c r="AW420" s="88"/>
      <c r="AX420" s="88"/>
      <c r="AY420" s="88"/>
      <c r="AZ420" s="88"/>
    </row>
    <row r="421" spans="1:52" s="90" customFormat="1" ht="15" customHeight="1" x14ac:dyDescent="0.3">
      <c r="A421" s="114">
        <v>410</v>
      </c>
      <c r="B421" s="174" t="s">
        <v>1102</v>
      </c>
      <c r="C421" s="120" t="s">
        <v>959</v>
      </c>
      <c r="D421" s="88"/>
      <c r="E421" s="88"/>
      <c r="F421" s="120" t="s">
        <v>958</v>
      </c>
      <c r="G421" s="25" t="s">
        <v>145</v>
      </c>
      <c r="H421" s="85" t="s">
        <v>146</v>
      </c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116">
        <v>285.08999999999997</v>
      </c>
      <c r="V421" s="120">
        <v>321.83999999999997</v>
      </c>
      <c r="W421" s="120">
        <v>60.88</v>
      </c>
      <c r="X421" s="120" t="s">
        <v>207</v>
      </c>
      <c r="Y421" s="120">
        <v>51.02</v>
      </c>
      <c r="Z421" s="120" t="s">
        <v>207</v>
      </c>
      <c r="AA421" s="120">
        <v>45.54</v>
      </c>
      <c r="AB421" s="120" t="s">
        <v>207</v>
      </c>
      <c r="AC421" s="120">
        <v>28.52</v>
      </c>
      <c r="AD421" s="120" t="s">
        <v>207</v>
      </c>
      <c r="AE421" s="120">
        <v>8.35</v>
      </c>
      <c r="AF421" s="120" t="s">
        <v>207</v>
      </c>
      <c r="AG421" s="120">
        <v>0</v>
      </c>
      <c r="AH421" s="120" t="s">
        <v>207</v>
      </c>
      <c r="AI421" s="120">
        <v>0</v>
      </c>
      <c r="AJ421" s="118" t="s">
        <v>207</v>
      </c>
      <c r="AK421" s="120">
        <v>0</v>
      </c>
      <c r="AL421" s="118" t="s">
        <v>207</v>
      </c>
      <c r="AM421" s="120">
        <v>1.26</v>
      </c>
      <c r="AN421" s="118" t="s">
        <v>207</v>
      </c>
      <c r="AO421" s="120">
        <v>23.14</v>
      </c>
      <c r="AP421" s="120" t="s">
        <v>207</v>
      </c>
      <c r="AQ421" s="120">
        <v>31.33</v>
      </c>
      <c r="AR421" s="120" t="s">
        <v>207</v>
      </c>
      <c r="AS421" s="120">
        <v>35.049999999999997</v>
      </c>
      <c r="AT421" s="120" t="s">
        <v>207</v>
      </c>
      <c r="AU421" s="118">
        <f t="shared" si="27"/>
        <v>285.08999999999997</v>
      </c>
      <c r="AV421" s="88"/>
      <c r="AW421" s="88"/>
      <c r="AX421" s="88"/>
      <c r="AY421" s="88"/>
      <c r="AZ421" s="88"/>
    </row>
    <row r="422" spans="1:52" s="90" customFormat="1" ht="15" customHeight="1" x14ac:dyDescent="0.3">
      <c r="A422" s="114">
        <v>411</v>
      </c>
      <c r="B422" s="174" t="s">
        <v>1103</v>
      </c>
      <c r="C422" s="120" t="s">
        <v>959</v>
      </c>
      <c r="D422" s="88"/>
      <c r="E422" s="88"/>
      <c r="F422" s="120" t="s">
        <v>958</v>
      </c>
      <c r="G422" s="25" t="s">
        <v>145</v>
      </c>
      <c r="H422" s="85" t="s">
        <v>146</v>
      </c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116">
        <v>129.84</v>
      </c>
      <c r="V422" s="120">
        <v>146.59</v>
      </c>
      <c r="W422" s="120">
        <v>27.72</v>
      </c>
      <c r="X422" s="120" t="s">
        <v>207</v>
      </c>
      <c r="Y422" s="120">
        <v>23.24</v>
      </c>
      <c r="Z422" s="120" t="s">
        <v>207</v>
      </c>
      <c r="AA422" s="120">
        <v>20.75</v>
      </c>
      <c r="AB422" s="120" t="s">
        <v>207</v>
      </c>
      <c r="AC422" s="120">
        <v>12.99</v>
      </c>
      <c r="AD422" s="120" t="s">
        <v>207</v>
      </c>
      <c r="AE422" s="120">
        <v>3.8</v>
      </c>
      <c r="AF422" s="120" t="s">
        <v>207</v>
      </c>
      <c r="AG422" s="120">
        <v>0</v>
      </c>
      <c r="AH422" s="120" t="s">
        <v>207</v>
      </c>
      <c r="AI422" s="120">
        <v>0</v>
      </c>
      <c r="AJ422" s="118" t="s">
        <v>207</v>
      </c>
      <c r="AK422" s="120">
        <v>0</v>
      </c>
      <c r="AL422" s="118" t="s">
        <v>207</v>
      </c>
      <c r="AM422" s="120">
        <v>0.56999999999999995</v>
      </c>
      <c r="AN422" s="118" t="s">
        <v>207</v>
      </c>
      <c r="AO422" s="120">
        <v>10.54</v>
      </c>
      <c r="AP422" s="120" t="s">
        <v>207</v>
      </c>
      <c r="AQ422" s="120">
        <v>14.27</v>
      </c>
      <c r="AR422" s="120" t="s">
        <v>207</v>
      </c>
      <c r="AS422" s="120">
        <v>15.96</v>
      </c>
      <c r="AT422" s="120" t="s">
        <v>207</v>
      </c>
      <c r="AU422" s="118">
        <f t="shared" si="27"/>
        <v>129.83999999999997</v>
      </c>
      <c r="AV422" s="88"/>
      <c r="AW422" s="88"/>
      <c r="AX422" s="88"/>
      <c r="AY422" s="88"/>
      <c r="AZ422" s="88"/>
    </row>
    <row r="423" spans="1:52" s="90" customFormat="1" ht="15" customHeight="1" x14ac:dyDescent="0.3">
      <c r="A423" s="114">
        <v>412</v>
      </c>
      <c r="B423" s="174" t="s">
        <v>1104</v>
      </c>
      <c r="C423" s="120" t="s">
        <v>959</v>
      </c>
      <c r="D423" s="88"/>
      <c r="E423" s="88"/>
      <c r="F423" s="120" t="s">
        <v>958</v>
      </c>
      <c r="G423" s="25" t="s">
        <v>145</v>
      </c>
      <c r="H423" s="85" t="s">
        <v>146</v>
      </c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116">
        <v>318.42</v>
      </c>
      <c r="V423" s="120">
        <v>360.16</v>
      </c>
      <c r="W423" s="120">
        <v>68.010000000000005</v>
      </c>
      <c r="X423" s="120" t="s">
        <v>207</v>
      </c>
      <c r="Y423" s="120">
        <v>56.99</v>
      </c>
      <c r="Z423" s="120" t="s">
        <v>207</v>
      </c>
      <c r="AA423" s="120">
        <v>50.87</v>
      </c>
      <c r="AB423" s="120" t="s">
        <v>207</v>
      </c>
      <c r="AC423" s="120">
        <v>35.61</v>
      </c>
      <c r="AD423" s="120" t="s">
        <v>207</v>
      </c>
      <c r="AE423" s="120">
        <v>9.33</v>
      </c>
      <c r="AF423" s="120" t="s">
        <v>207</v>
      </c>
      <c r="AG423" s="120">
        <v>0</v>
      </c>
      <c r="AH423" s="120" t="s">
        <v>207</v>
      </c>
      <c r="AI423" s="120">
        <v>0</v>
      </c>
      <c r="AJ423" s="118" t="s">
        <v>207</v>
      </c>
      <c r="AK423" s="120">
        <v>0</v>
      </c>
      <c r="AL423" s="118" t="s">
        <v>207</v>
      </c>
      <c r="AM423" s="120">
        <v>1.39</v>
      </c>
      <c r="AN423" s="118" t="s">
        <v>207</v>
      </c>
      <c r="AO423" s="120">
        <v>24.29</v>
      </c>
      <c r="AP423" s="120" t="s">
        <v>207</v>
      </c>
      <c r="AQ423" s="120">
        <v>33.159999999999997</v>
      </c>
      <c r="AR423" s="120" t="s">
        <v>207</v>
      </c>
      <c r="AS423" s="120">
        <v>38.770000000000003</v>
      </c>
      <c r="AT423" s="120" t="s">
        <v>207</v>
      </c>
      <c r="AU423" s="118">
        <f t="shared" si="27"/>
        <v>318.41999999999996</v>
      </c>
      <c r="AV423" s="88"/>
      <c r="AW423" s="88"/>
      <c r="AX423" s="88"/>
      <c r="AY423" s="88"/>
      <c r="AZ423" s="88"/>
    </row>
    <row r="424" spans="1:52" s="90" customFormat="1" ht="15" customHeight="1" x14ac:dyDescent="0.3">
      <c r="A424" s="114">
        <v>413</v>
      </c>
      <c r="B424" s="174" t="s">
        <v>1105</v>
      </c>
      <c r="C424" s="120" t="s">
        <v>959</v>
      </c>
      <c r="D424" s="88"/>
      <c r="E424" s="88"/>
      <c r="F424" s="120" t="s">
        <v>958</v>
      </c>
      <c r="G424" s="25" t="s">
        <v>145</v>
      </c>
      <c r="H424" s="85" t="s">
        <v>146</v>
      </c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116">
        <v>106.8</v>
      </c>
      <c r="V424" s="120">
        <v>122.18</v>
      </c>
      <c r="W424" s="120">
        <v>23.07</v>
      </c>
      <c r="X424" s="120" t="s">
        <v>207</v>
      </c>
      <c r="Y424" s="120">
        <v>19.34</v>
      </c>
      <c r="Z424" s="120" t="s">
        <v>207</v>
      </c>
      <c r="AA424" s="120">
        <v>17.260000000000002</v>
      </c>
      <c r="AB424" s="120" t="s">
        <v>207</v>
      </c>
      <c r="AC424" s="120">
        <v>10.81</v>
      </c>
      <c r="AD424" s="120" t="s">
        <v>207</v>
      </c>
      <c r="AE424" s="120">
        <v>3.17</v>
      </c>
      <c r="AF424" s="120" t="s">
        <v>207</v>
      </c>
      <c r="AG424" s="120">
        <v>0</v>
      </c>
      <c r="AH424" s="120" t="s">
        <v>207</v>
      </c>
      <c r="AI424" s="120">
        <v>0</v>
      </c>
      <c r="AJ424" s="118" t="s">
        <v>207</v>
      </c>
      <c r="AK424" s="120">
        <v>0</v>
      </c>
      <c r="AL424" s="118" t="s">
        <v>207</v>
      </c>
      <c r="AM424" s="120">
        <v>0.48</v>
      </c>
      <c r="AN424" s="118" t="s">
        <v>207</v>
      </c>
      <c r="AO424" s="120">
        <v>8.25</v>
      </c>
      <c r="AP424" s="120" t="s">
        <v>207</v>
      </c>
      <c r="AQ424" s="120">
        <v>11.26</v>
      </c>
      <c r="AR424" s="120" t="s">
        <v>207</v>
      </c>
      <c r="AS424" s="120">
        <v>13.16</v>
      </c>
      <c r="AT424" s="120" t="s">
        <v>207</v>
      </c>
      <c r="AU424" s="118">
        <f t="shared" si="27"/>
        <v>106.80000000000001</v>
      </c>
      <c r="AV424" s="88"/>
      <c r="AW424" s="88"/>
      <c r="AX424" s="88"/>
      <c r="AY424" s="88"/>
      <c r="AZ424" s="88"/>
    </row>
    <row r="425" spans="1:52" s="90" customFormat="1" ht="15" customHeight="1" x14ac:dyDescent="0.3">
      <c r="A425" s="114">
        <v>414</v>
      </c>
      <c r="B425" s="174" t="s">
        <v>1106</v>
      </c>
      <c r="C425" s="120" t="s">
        <v>959</v>
      </c>
      <c r="D425" s="88"/>
      <c r="E425" s="88"/>
      <c r="F425" s="120" t="s">
        <v>958</v>
      </c>
      <c r="G425" s="25" t="s">
        <v>145</v>
      </c>
      <c r="H425" s="85" t="s">
        <v>146</v>
      </c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116">
        <v>110.7</v>
      </c>
      <c r="V425" s="120">
        <v>126.61</v>
      </c>
      <c r="W425" s="120">
        <v>23.92</v>
      </c>
      <c r="X425" s="120" t="s">
        <v>207</v>
      </c>
      <c r="Y425" s="120">
        <v>20.04</v>
      </c>
      <c r="Z425" s="120" t="s">
        <v>207</v>
      </c>
      <c r="AA425" s="120">
        <v>17.89</v>
      </c>
      <c r="AB425" s="120" t="s">
        <v>207</v>
      </c>
      <c r="AC425" s="120">
        <v>11.21</v>
      </c>
      <c r="AD425" s="120" t="s">
        <v>207</v>
      </c>
      <c r="AE425" s="120">
        <v>3.29</v>
      </c>
      <c r="AF425" s="120" t="s">
        <v>207</v>
      </c>
      <c r="AG425" s="120">
        <v>0</v>
      </c>
      <c r="AH425" s="120" t="s">
        <v>207</v>
      </c>
      <c r="AI425" s="120">
        <v>0</v>
      </c>
      <c r="AJ425" s="118" t="s">
        <v>207</v>
      </c>
      <c r="AK425" s="120">
        <v>0</v>
      </c>
      <c r="AL425" s="118" t="s">
        <v>207</v>
      </c>
      <c r="AM425" s="120">
        <v>0.49</v>
      </c>
      <c r="AN425" s="118" t="s">
        <v>207</v>
      </c>
      <c r="AO425" s="120">
        <v>8.5500000000000007</v>
      </c>
      <c r="AP425" s="120" t="s">
        <v>207</v>
      </c>
      <c r="AQ425" s="120">
        <v>11.68</v>
      </c>
      <c r="AR425" s="120" t="s">
        <v>207</v>
      </c>
      <c r="AS425" s="120">
        <v>13.63</v>
      </c>
      <c r="AT425" s="120" t="s">
        <v>207</v>
      </c>
      <c r="AU425" s="118">
        <f t="shared" si="27"/>
        <v>110.69999999999999</v>
      </c>
      <c r="AV425" s="88"/>
      <c r="AW425" s="88"/>
      <c r="AX425" s="88"/>
      <c r="AY425" s="88"/>
      <c r="AZ425" s="88"/>
    </row>
    <row r="426" spans="1:52" s="90" customFormat="1" ht="15" customHeight="1" x14ac:dyDescent="0.3">
      <c r="A426" s="114">
        <v>415</v>
      </c>
      <c r="B426" s="174" t="s">
        <v>1107</v>
      </c>
      <c r="C426" s="120" t="s">
        <v>959</v>
      </c>
      <c r="D426" s="88"/>
      <c r="E426" s="88"/>
      <c r="F426" s="120" t="s">
        <v>958</v>
      </c>
      <c r="G426" s="25" t="s">
        <v>145</v>
      </c>
      <c r="H426" s="85" t="s">
        <v>146</v>
      </c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116">
        <v>153.21</v>
      </c>
      <c r="V426" s="120">
        <v>173.96</v>
      </c>
      <c r="W426" s="120">
        <v>32.83</v>
      </c>
      <c r="X426" s="120" t="s">
        <v>207</v>
      </c>
      <c r="Y426" s="120">
        <v>27.52</v>
      </c>
      <c r="Z426" s="120" t="s">
        <v>207</v>
      </c>
      <c r="AA426" s="120">
        <v>24.58</v>
      </c>
      <c r="AB426" s="120" t="s">
        <v>207</v>
      </c>
      <c r="AC426" s="120">
        <v>15.46</v>
      </c>
      <c r="AD426" s="120" t="s">
        <v>207</v>
      </c>
      <c r="AE426" s="120">
        <v>4.53</v>
      </c>
      <c r="AF426" s="120" t="s">
        <v>207</v>
      </c>
      <c r="AG426" s="120">
        <v>0</v>
      </c>
      <c r="AH426" s="120" t="s">
        <v>207</v>
      </c>
      <c r="AI426" s="120">
        <v>0</v>
      </c>
      <c r="AJ426" s="118" t="s">
        <v>207</v>
      </c>
      <c r="AK426" s="120">
        <v>0</v>
      </c>
      <c r="AL426" s="118" t="s">
        <v>207</v>
      </c>
      <c r="AM426" s="120">
        <v>0.68</v>
      </c>
      <c r="AN426" s="118" t="s">
        <v>207</v>
      </c>
      <c r="AO426" s="120">
        <v>12.28</v>
      </c>
      <c r="AP426" s="120" t="s">
        <v>207</v>
      </c>
      <c r="AQ426" s="120">
        <v>16.350000000000001</v>
      </c>
      <c r="AR426" s="120" t="s">
        <v>207</v>
      </c>
      <c r="AS426" s="120">
        <v>18.98</v>
      </c>
      <c r="AT426" s="120" t="s">
        <v>207</v>
      </c>
      <c r="AU426" s="118">
        <f t="shared" si="27"/>
        <v>153.20999999999998</v>
      </c>
      <c r="AV426" s="88"/>
      <c r="AW426" s="88"/>
      <c r="AX426" s="88"/>
      <c r="AY426" s="88"/>
      <c r="AZ426" s="88"/>
    </row>
    <row r="427" spans="1:52" s="90" customFormat="1" ht="15" customHeight="1" x14ac:dyDescent="0.3">
      <c r="A427" s="114">
        <v>416</v>
      </c>
      <c r="B427" s="174" t="s">
        <v>1108</v>
      </c>
      <c r="C427" s="120" t="s">
        <v>959</v>
      </c>
      <c r="D427" s="88"/>
      <c r="E427" s="88"/>
      <c r="F427" s="120" t="s">
        <v>958</v>
      </c>
      <c r="G427" s="25" t="s">
        <v>145</v>
      </c>
      <c r="H427" s="85" t="s">
        <v>146</v>
      </c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116">
        <v>278.08999999999997</v>
      </c>
      <c r="V427" s="120">
        <v>302.75</v>
      </c>
      <c r="W427" s="120">
        <v>58.74</v>
      </c>
      <c r="X427" s="120" t="s">
        <v>207</v>
      </c>
      <c r="Y427" s="120">
        <v>49.21</v>
      </c>
      <c r="Z427" s="120" t="s">
        <v>207</v>
      </c>
      <c r="AA427" s="120">
        <v>43.93</v>
      </c>
      <c r="AB427" s="120" t="s">
        <v>207</v>
      </c>
      <c r="AC427" s="120">
        <v>27.31</v>
      </c>
      <c r="AD427" s="120" t="s">
        <v>207</v>
      </c>
      <c r="AE427" s="120">
        <v>8</v>
      </c>
      <c r="AF427" s="120" t="s">
        <v>207</v>
      </c>
      <c r="AG427" s="120">
        <v>0</v>
      </c>
      <c r="AH427" s="120" t="s">
        <v>207</v>
      </c>
      <c r="AI427" s="120">
        <v>0</v>
      </c>
      <c r="AJ427" s="118" t="s">
        <v>207</v>
      </c>
      <c r="AK427" s="120">
        <v>0</v>
      </c>
      <c r="AL427" s="118" t="s">
        <v>207</v>
      </c>
      <c r="AM427" s="120">
        <v>1.19</v>
      </c>
      <c r="AN427" s="118" t="s">
        <v>207</v>
      </c>
      <c r="AO427" s="120">
        <v>20.83</v>
      </c>
      <c r="AP427" s="120" t="s">
        <v>207</v>
      </c>
      <c r="AQ427" s="120">
        <v>28.46</v>
      </c>
      <c r="AR427" s="120" t="s">
        <v>207</v>
      </c>
      <c r="AS427" s="120">
        <v>33.24</v>
      </c>
      <c r="AT427" s="120" t="s">
        <v>207</v>
      </c>
      <c r="AU427" s="118">
        <f t="shared" si="27"/>
        <v>270.90999999999997</v>
      </c>
      <c r="AV427" s="88"/>
      <c r="AW427" s="88"/>
      <c r="AX427" s="88"/>
      <c r="AY427" s="88"/>
      <c r="AZ427" s="88"/>
    </row>
    <row r="428" spans="1:52" s="90" customFormat="1" ht="15" customHeight="1" x14ac:dyDescent="0.3">
      <c r="A428" s="114">
        <v>417</v>
      </c>
      <c r="B428" s="174" t="s">
        <v>1109</v>
      </c>
      <c r="C428" s="120" t="s">
        <v>959</v>
      </c>
      <c r="D428" s="88"/>
      <c r="E428" s="88"/>
      <c r="F428" s="120" t="s">
        <v>958</v>
      </c>
      <c r="G428" s="25" t="s">
        <v>145</v>
      </c>
      <c r="H428" s="85" t="s">
        <v>146</v>
      </c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116">
        <v>193.59</v>
      </c>
      <c r="V428" s="120">
        <v>224.08</v>
      </c>
      <c r="W428" s="120">
        <v>30.17</v>
      </c>
      <c r="X428" s="120" t="s">
        <v>207</v>
      </c>
      <c r="Y428" s="120">
        <v>40.51</v>
      </c>
      <c r="Z428" s="120" t="s">
        <v>207</v>
      </c>
      <c r="AA428" s="120">
        <v>29.13</v>
      </c>
      <c r="AB428" s="120" t="s">
        <v>207</v>
      </c>
      <c r="AC428" s="120">
        <v>24.35</v>
      </c>
      <c r="AD428" s="120" t="s">
        <v>207</v>
      </c>
      <c r="AE428" s="120">
        <v>9.7799999999999994</v>
      </c>
      <c r="AF428" s="120" t="s">
        <v>207</v>
      </c>
      <c r="AG428" s="120">
        <v>0</v>
      </c>
      <c r="AH428" s="120" t="s">
        <v>207</v>
      </c>
      <c r="AI428" s="120">
        <v>0</v>
      </c>
      <c r="AJ428" s="118" t="s">
        <v>207</v>
      </c>
      <c r="AK428" s="120">
        <v>0</v>
      </c>
      <c r="AL428" s="118" t="s">
        <v>207</v>
      </c>
      <c r="AM428" s="120">
        <v>0.93</v>
      </c>
      <c r="AN428" s="118" t="s">
        <v>207</v>
      </c>
      <c r="AO428" s="120">
        <v>9.1300000000000008</v>
      </c>
      <c r="AP428" s="120" t="s">
        <v>207</v>
      </c>
      <c r="AQ428" s="120">
        <v>23.52</v>
      </c>
      <c r="AR428" s="120" t="s">
        <v>207</v>
      </c>
      <c r="AS428" s="120">
        <v>26.07</v>
      </c>
      <c r="AT428" s="120" t="s">
        <v>207</v>
      </c>
      <c r="AU428" s="118">
        <f t="shared" si="27"/>
        <v>193.59</v>
      </c>
      <c r="AV428" s="88"/>
      <c r="AW428" s="88"/>
      <c r="AX428" s="88"/>
      <c r="AY428" s="88"/>
      <c r="AZ428" s="88"/>
    </row>
    <row r="429" spans="1:52" s="90" customFormat="1" ht="15" customHeight="1" x14ac:dyDescent="0.3">
      <c r="A429" s="114">
        <v>418</v>
      </c>
      <c r="B429" s="174" t="s">
        <v>1110</v>
      </c>
      <c r="C429" s="120" t="s">
        <v>959</v>
      </c>
      <c r="D429" s="88"/>
      <c r="E429" s="88"/>
      <c r="F429" s="120" t="s">
        <v>958</v>
      </c>
      <c r="G429" s="25" t="s">
        <v>145</v>
      </c>
      <c r="H429" s="85" t="s">
        <v>146</v>
      </c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116">
        <v>290.3</v>
      </c>
      <c r="V429" s="120">
        <v>333.24</v>
      </c>
      <c r="W429" s="120">
        <v>62.93</v>
      </c>
      <c r="X429" s="120" t="s">
        <v>207</v>
      </c>
      <c r="Y429" s="120">
        <v>52.73</v>
      </c>
      <c r="Z429" s="120" t="s">
        <v>207</v>
      </c>
      <c r="AA429" s="120">
        <v>47.07</v>
      </c>
      <c r="AB429" s="120" t="s">
        <v>207</v>
      </c>
      <c r="AC429" s="120">
        <v>29.5</v>
      </c>
      <c r="AD429" s="120" t="s">
        <v>207</v>
      </c>
      <c r="AE429" s="120">
        <v>8.65</v>
      </c>
      <c r="AF429" s="120" t="s">
        <v>207</v>
      </c>
      <c r="AG429" s="120">
        <v>0</v>
      </c>
      <c r="AH429" s="120" t="s">
        <v>207</v>
      </c>
      <c r="AI429" s="120">
        <v>0</v>
      </c>
      <c r="AJ429" s="118" t="s">
        <v>207</v>
      </c>
      <c r="AK429" s="120">
        <v>0</v>
      </c>
      <c r="AL429" s="118" t="s">
        <v>207</v>
      </c>
      <c r="AM429" s="120">
        <v>1.28</v>
      </c>
      <c r="AN429" s="118" t="s">
        <v>207</v>
      </c>
      <c r="AO429" s="120">
        <v>23</v>
      </c>
      <c r="AP429" s="120" t="s">
        <v>207</v>
      </c>
      <c r="AQ429" s="120">
        <v>29.26</v>
      </c>
      <c r="AR429" s="120" t="s">
        <v>207</v>
      </c>
      <c r="AS429" s="120">
        <v>35.880000000000003</v>
      </c>
      <c r="AT429" s="120" t="s">
        <v>207</v>
      </c>
      <c r="AU429" s="118">
        <f t="shared" si="27"/>
        <v>290.3</v>
      </c>
      <c r="AV429" s="88"/>
      <c r="AW429" s="88"/>
      <c r="AX429" s="88"/>
      <c r="AY429" s="88"/>
      <c r="AZ429" s="88"/>
    </row>
    <row r="430" spans="1:52" s="90" customFormat="1" ht="15" customHeight="1" x14ac:dyDescent="0.3">
      <c r="A430" s="114">
        <v>419</v>
      </c>
      <c r="B430" s="174" t="s">
        <v>1111</v>
      </c>
      <c r="C430" s="120" t="s">
        <v>959</v>
      </c>
      <c r="D430" s="88"/>
      <c r="E430" s="88"/>
      <c r="F430" s="120" t="s">
        <v>958</v>
      </c>
      <c r="G430" s="25" t="s">
        <v>145</v>
      </c>
      <c r="H430" s="85" t="s">
        <v>146</v>
      </c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116">
        <v>1201.95</v>
      </c>
      <c r="V430" s="120">
        <f>1121.7+521.17</f>
        <v>1642.87</v>
      </c>
      <c r="W430" s="120">
        <v>228.3</v>
      </c>
      <c r="X430" s="120" t="s">
        <v>207</v>
      </c>
      <c r="Y430" s="120">
        <v>278.91000000000003</v>
      </c>
      <c r="Z430" s="120" t="s">
        <v>207</v>
      </c>
      <c r="AA430" s="120">
        <v>203.5</v>
      </c>
      <c r="AB430" s="120" t="s">
        <v>207</v>
      </c>
      <c r="AC430" s="120">
        <v>0</v>
      </c>
      <c r="AD430" s="120" t="s">
        <v>207</v>
      </c>
      <c r="AE430" s="120">
        <v>0</v>
      </c>
      <c r="AF430" s="120" t="s">
        <v>207</v>
      </c>
      <c r="AG430" s="120">
        <v>0</v>
      </c>
      <c r="AH430" s="120" t="s">
        <v>207</v>
      </c>
      <c r="AI430" s="120">
        <v>0</v>
      </c>
      <c r="AJ430" s="118" t="s">
        <v>207</v>
      </c>
      <c r="AK430" s="120">
        <v>0</v>
      </c>
      <c r="AL430" s="118" t="s">
        <v>207</v>
      </c>
      <c r="AM430" s="120">
        <v>50.49</v>
      </c>
      <c r="AN430" s="118" t="s">
        <v>207</v>
      </c>
      <c r="AO430" s="120">
        <v>90.86</v>
      </c>
      <c r="AP430" s="120" t="s">
        <v>207</v>
      </c>
      <c r="AQ430" s="120">
        <v>168.04</v>
      </c>
      <c r="AR430" s="120" t="s">
        <v>207</v>
      </c>
      <c r="AS430" s="120">
        <v>181.85</v>
      </c>
      <c r="AT430" s="120" t="s">
        <v>207</v>
      </c>
      <c r="AU430" s="118">
        <f t="shared" si="27"/>
        <v>1201.95</v>
      </c>
      <c r="AV430" s="88"/>
      <c r="AW430" s="88"/>
      <c r="AX430" s="88"/>
      <c r="AY430" s="88"/>
      <c r="AZ430" s="88"/>
    </row>
    <row r="431" spans="1:52" s="90" customFormat="1" ht="15" customHeight="1" x14ac:dyDescent="0.3">
      <c r="A431" s="114">
        <v>420</v>
      </c>
      <c r="B431" s="174" t="s">
        <v>1112</v>
      </c>
      <c r="C431" s="120" t="s">
        <v>959</v>
      </c>
      <c r="D431" s="88"/>
      <c r="E431" s="88"/>
      <c r="F431" s="120" t="s">
        <v>958</v>
      </c>
      <c r="G431" s="25" t="s">
        <v>145</v>
      </c>
      <c r="H431" s="85" t="s">
        <v>146</v>
      </c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116"/>
      <c r="V431" s="120">
        <v>389.2</v>
      </c>
      <c r="W431" s="120"/>
      <c r="X431" s="120" t="s">
        <v>207</v>
      </c>
      <c r="Y431" s="120"/>
      <c r="Z431" s="120" t="s">
        <v>207</v>
      </c>
      <c r="AA431" s="120"/>
      <c r="AB431" s="120" t="s">
        <v>207</v>
      </c>
      <c r="AC431" s="120"/>
      <c r="AD431" s="120" t="s">
        <v>207</v>
      </c>
      <c r="AE431" s="120"/>
      <c r="AF431" s="120" t="s">
        <v>207</v>
      </c>
      <c r="AG431" s="120"/>
      <c r="AH431" s="120" t="s">
        <v>207</v>
      </c>
      <c r="AI431" s="120"/>
      <c r="AJ431" s="118" t="s">
        <v>207</v>
      </c>
      <c r="AK431" s="120"/>
      <c r="AL431" s="118" t="s">
        <v>207</v>
      </c>
      <c r="AM431" s="120"/>
      <c r="AN431" s="118" t="s">
        <v>207</v>
      </c>
      <c r="AO431" s="120"/>
      <c r="AP431" s="120" t="s">
        <v>207</v>
      </c>
      <c r="AQ431" s="120"/>
      <c r="AR431" s="120" t="s">
        <v>207</v>
      </c>
      <c r="AS431" s="120"/>
      <c r="AT431" s="120" t="s">
        <v>207</v>
      </c>
      <c r="AU431" s="118">
        <f t="shared" si="27"/>
        <v>0</v>
      </c>
      <c r="AV431" s="88"/>
      <c r="AW431" s="88"/>
      <c r="AX431" s="88"/>
      <c r="AY431" s="88"/>
      <c r="AZ431" s="88"/>
    </row>
    <row r="432" spans="1:52" s="90" customFormat="1" ht="15" customHeight="1" x14ac:dyDescent="0.3">
      <c r="A432" s="114">
        <v>421</v>
      </c>
      <c r="B432" s="174" t="s">
        <v>1113</v>
      </c>
      <c r="C432" s="120" t="s">
        <v>959</v>
      </c>
      <c r="D432" s="88"/>
      <c r="E432" s="88"/>
      <c r="F432" s="120" t="s">
        <v>958</v>
      </c>
      <c r="G432" s="25" t="s">
        <v>145</v>
      </c>
      <c r="H432" s="85" t="s">
        <v>146</v>
      </c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116"/>
      <c r="V432" s="120">
        <v>443.29</v>
      </c>
      <c r="W432" s="120"/>
      <c r="X432" s="120" t="s">
        <v>207</v>
      </c>
      <c r="Y432" s="120"/>
      <c r="Z432" s="120" t="s">
        <v>207</v>
      </c>
      <c r="AA432" s="120"/>
      <c r="AB432" s="120" t="s">
        <v>207</v>
      </c>
      <c r="AC432" s="120"/>
      <c r="AD432" s="120" t="s">
        <v>207</v>
      </c>
      <c r="AE432" s="120"/>
      <c r="AF432" s="120" t="s">
        <v>207</v>
      </c>
      <c r="AG432" s="120"/>
      <c r="AH432" s="120" t="s">
        <v>207</v>
      </c>
      <c r="AI432" s="120"/>
      <c r="AJ432" s="118" t="s">
        <v>207</v>
      </c>
      <c r="AK432" s="120"/>
      <c r="AL432" s="118" t="s">
        <v>207</v>
      </c>
      <c r="AM432" s="120"/>
      <c r="AN432" s="118" t="s">
        <v>207</v>
      </c>
      <c r="AO432" s="120"/>
      <c r="AP432" s="120" t="s">
        <v>207</v>
      </c>
      <c r="AQ432" s="120"/>
      <c r="AR432" s="120" t="s">
        <v>207</v>
      </c>
      <c r="AS432" s="120"/>
      <c r="AT432" s="120" t="s">
        <v>207</v>
      </c>
      <c r="AU432" s="118">
        <f t="shared" si="27"/>
        <v>0</v>
      </c>
      <c r="AV432" s="88"/>
      <c r="AW432" s="88"/>
      <c r="AX432" s="88"/>
      <c r="AY432" s="88"/>
      <c r="AZ432" s="88"/>
    </row>
    <row r="433" spans="1:52" s="90" customFormat="1" ht="15" customHeight="1" x14ac:dyDescent="0.3">
      <c r="A433" s="114">
        <v>422</v>
      </c>
      <c r="B433" s="174" t="s">
        <v>1114</v>
      </c>
      <c r="C433" s="120" t="s">
        <v>959</v>
      </c>
      <c r="D433" s="88"/>
      <c r="E433" s="88"/>
      <c r="F433" s="120" t="s">
        <v>958</v>
      </c>
      <c r="G433" s="25" t="s">
        <v>145</v>
      </c>
      <c r="H433" s="85" t="s">
        <v>146</v>
      </c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116"/>
      <c r="V433" s="120">
        <v>117.96</v>
      </c>
      <c r="W433" s="120"/>
      <c r="X433" s="120" t="s">
        <v>207</v>
      </c>
      <c r="Y433" s="120"/>
      <c r="Z433" s="120" t="s">
        <v>207</v>
      </c>
      <c r="AA433" s="120"/>
      <c r="AB433" s="120" t="s">
        <v>207</v>
      </c>
      <c r="AC433" s="120"/>
      <c r="AD433" s="120" t="s">
        <v>207</v>
      </c>
      <c r="AE433" s="120"/>
      <c r="AF433" s="120" t="s">
        <v>207</v>
      </c>
      <c r="AG433" s="120"/>
      <c r="AH433" s="120" t="s">
        <v>207</v>
      </c>
      <c r="AI433" s="120"/>
      <c r="AJ433" s="118" t="s">
        <v>207</v>
      </c>
      <c r="AK433" s="120"/>
      <c r="AL433" s="118" t="s">
        <v>207</v>
      </c>
      <c r="AM433" s="120"/>
      <c r="AN433" s="118" t="s">
        <v>207</v>
      </c>
      <c r="AO433" s="120"/>
      <c r="AP433" s="120" t="s">
        <v>207</v>
      </c>
      <c r="AQ433" s="120"/>
      <c r="AR433" s="120" t="s">
        <v>207</v>
      </c>
      <c r="AS433" s="120"/>
      <c r="AT433" s="120" t="s">
        <v>207</v>
      </c>
      <c r="AU433" s="118">
        <f t="shared" si="27"/>
        <v>0</v>
      </c>
      <c r="AV433" s="88"/>
      <c r="AW433" s="88"/>
      <c r="AX433" s="88"/>
      <c r="AY433" s="88"/>
      <c r="AZ433" s="88"/>
    </row>
    <row r="434" spans="1:52" s="90" customFormat="1" ht="15" customHeight="1" x14ac:dyDescent="0.3">
      <c r="A434" s="114">
        <v>423</v>
      </c>
      <c r="B434" s="174" t="s">
        <v>1115</v>
      </c>
      <c r="C434" s="120" t="s">
        <v>959</v>
      </c>
      <c r="D434" s="88"/>
      <c r="E434" s="88"/>
      <c r="F434" s="120" t="s">
        <v>958</v>
      </c>
      <c r="G434" s="25" t="s">
        <v>145</v>
      </c>
      <c r="H434" s="85" t="s">
        <v>146</v>
      </c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116">
        <v>288.54000000000002</v>
      </c>
      <c r="V434" s="120">
        <v>304.25</v>
      </c>
      <c r="W434" s="120">
        <v>52.98</v>
      </c>
      <c r="X434" s="120" t="s">
        <v>207</v>
      </c>
      <c r="Y434" s="120">
        <v>57.32</v>
      </c>
      <c r="Z434" s="120" t="s">
        <v>207</v>
      </c>
      <c r="AA434" s="120">
        <v>54.54</v>
      </c>
      <c r="AB434" s="120" t="s">
        <v>207</v>
      </c>
      <c r="AC434" s="120">
        <v>35.979999999999997</v>
      </c>
      <c r="AD434" s="120" t="s">
        <v>207</v>
      </c>
      <c r="AE434" s="120">
        <v>14.27</v>
      </c>
      <c r="AF434" s="120" t="s">
        <v>207</v>
      </c>
      <c r="AG434" s="120">
        <v>0</v>
      </c>
      <c r="AH434" s="120" t="s">
        <v>207</v>
      </c>
      <c r="AI434" s="120">
        <v>0</v>
      </c>
      <c r="AJ434" s="118" t="s">
        <v>207</v>
      </c>
      <c r="AK434" s="120">
        <v>0</v>
      </c>
      <c r="AL434" s="118" t="s">
        <v>207</v>
      </c>
      <c r="AM434" s="120">
        <v>0</v>
      </c>
      <c r="AN434" s="118" t="s">
        <v>207</v>
      </c>
      <c r="AO434" s="120">
        <v>0</v>
      </c>
      <c r="AP434" s="120" t="s">
        <v>207</v>
      </c>
      <c r="AQ434" s="120">
        <v>34.58</v>
      </c>
      <c r="AR434" s="120" t="s">
        <v>207</v>
      </c>
      <c r="AS434" s="120">
        <v>38.869999999999997</v>
      </c>
      <c r="AT434" s="120" t="s">
        <v>207</v>
      </c>
      <c r="AU434" s="118">
        <f t="shared" si="27"/>
        <v>288.54000000000002</v>
      </c>
      <c r="AV434" s="88"/>
      <c r="AW434" s="88"/>
      <c r="AX434" s="88"/>
      <c r="AY434" s="88"/>
      <c r="AZ434" s="88"/>
    </row>
    <row r="435" spans="1:52" s="90" customFormat="1" ht="15" customHeight="1" x14ac:dyDescent="0.3">
      <c r="A435" s="114">
        <v>424</v>
      </c>
      <c r="B435" s="174" t="s">
        <v>1116</v>
      </c>
      <c r="C435" s="120" t="s">
        <v>959</v>
      </c>
      <c r="D435" s="88"/>
      <c r="E435" s="88"/>
      <c r="F435" s="120" t="s">
        <v>958</v>
      </c>
      <c r="G435" s="25" t="s">
        <v>145</v>
      </c>
      <c r="H435" s="85" t="s">
        <v>146</v>
      </c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116">
        <v>277.14999999999998</v>
      </c>
      <c r="V435" s="120">
        <v>295.12</v>
      </c>
      <c r="W435" s="120">
        <v>52.58</v>
      </c>
      <c r="X435" s="120" t="s">
        <v>207</v>
      </c>
      <c r="Y435" s="120">
        <v>52.54</v>
      </c>
      <c r="Z435" s="120" t="s">
        <v>207</v>
      </c>
      <c r="AA435" s="120">
        <v>50.24</v>
      </c>
      <c r="AB435" s="120" t="s">
        <v>207</v>
      </c>
      <c r="AC435" s="120">
        <v>23.99</v>
      </c>
      <c r="AD435" s="120" t="s">
        <v>207</v>
      </c>
      <c r="AE435" s="120">
        <v>11.51</v>
      </c>
      <c r="AF435" s="120" t="s">
        <v>207</v>
      </c>
      <c r="AG435" s="120">
        <v>0</v>
      </c>
      <c r="AH435" s="120" t="s">
        <v>207</v>
      </c>
      <c r="AI435" s="120">
        <v>0</v>
      </c>
      <c r="AJ435" s="118" t="s">
        <v>207</v>
      </c>
      <c r="AK435" s="120">
        <v>0</v>
      </c>
      <c r="AL435" s="118" t="s">
        <v>207</v>
      </c>
      <c r="AM435" s="120">
        <v>0.35</v>
      </c>
      <c r="AN435" s="118" t="s">
        <v>207</v>
      </c>
      <c r="AO435" s="120">
        <v>15.34</v>
      </c>
      <c r="AP435" s="120" t="s">
        <v>207</v>
      </c>
      <c r="AQ435" s="120">
        <v>35</v>
      </c>
      <c r="AR435" s="120" t="s">
        <v>207</v>
      </c>
      <c r="AS435" s="120">
        <v>35.6</v>
      </c>
      <c r="AT435" s="120" t="s">
        <v>207</v>
      </c>
      <c r="AU435" s="118">
        <f t="shared" si="27"/>
        <v>277.15000000000003</v>
      </c>
      <c r="AV435" s="88"/>
      <c r="AW435" s="88"/>
      <c r="AX435" s="88"/>
      <c r="AY435" s="88"/>
      <c r="AZ435" s="88"/>
    </row>
    <row r="436" spans="1:52" s="90" customFormat="1" ht="15" customHeight="1" x14ac:dyDescent="0.3">
      <c r="A436" s="114">
        <v>425</v>
      </c>
      <c r="B436" s="174" t="s">
        <v>1117</v>
      </c>
      <c r="C436" s="120" t="s">
        <v>959</v>
      </c>
      <c r="D436" s="88"/>
      <c r="E436" s="88"/>
      <c r="F436" s="120" t="s">
        <v>958</v>
      </c>
      <c r="G436" s="25" t="s">
        <v>145</v>
      </c>
      <c r="H436" s="85" t="s">
        <v>146</v>
      </c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116">
        <v>388.55</v>
      </c>
      <c r="V436" s="120">
        <v>405.02</v>
      </c>
      <c r="W436" s="120">
        <v>77.92</v>
      </c>
      <c r="X436" s="120" t="s">
        <v>207</v>
      </c>
      <c r="Y436" s="120">
        <v>60.59</v>
      </c>
      <c r="Z436" s="120" t="s">
        <v>207</v>
      </c>
      <c r="AA436" s="120">
        <v>59.99</v>
      </c>
      <c r="AB436" s="120" t="s">
        <v>207</v>
      </c>
      <c r="AC436" s="120">
        <v>44.57</v>
      </c>
      <c r="AD436" s="120" t="s">
        <v>207</v>
      </c>
      <c r="AE436" s="120">
        <v>18.91</v>
      </c>
      <c r="AF436" s="120" t="s">
        <v>207</v>
      </c>
      <c r="AG436" s="120">
        <v>0</v>
      </c>
      <c r="AH436" s="120" t="s">
        <v>207</v>
      </c>
      <c r="AI436" s="120">
        <v>0</v>
      </c>
      <c r="AJ436" s="118" t="s">
        <v>207</v>
      </c>
      <c r="AK436" s="120">
        <v>0</v>
      </c>
      <c r="AL436" s="118" t="s">
        <v>207</v>
      </c>
      <c r="AM436" s="120">
        <v>0.6</v>
      </c>
      <c r="AN436" s="118" t="s">
        <v>207</v>
      </c>
      <c r="AO436" s="120">
        <v>29.03</v>
      </c>
      <c r="AP436" s="120" t="s">
        <v>207</v>
      </c>
      <c r="AQ436" s="120">
        <v>44.17</v>
      </c>
      <c r="AR436" s="120" t="s">
        <v>207</v>
      </c>
      <c r="AS436" s="120">
        <v>52.77</v>
      </c>
      <c r="AT436" s="120" t="s">
        <v>207</v>
      </c>
      <c r="AU436" s="118">
        <f t="shared" si="27"/>
        <v>388.55</v>
      </c>
      <c r="AV436" s="88"/>
      <c r="AW436" s="88"/>
      <c r="AX436" s="88"/>
      <c r="AY436" s="88"/>
      <c r="AZ436" s="88"/>
    </row>
    <row r="437" spans="1:52" s="90" customFormat="1" ht="15" customHeight="1" x14ac:dyDescent="0.3">
      <c r="A437" s="114">
        <v>426</v>
      </c>
      <c r="B437" s="174" t="s">
        <v>1118</v>
      </c>
      <c r="C437" s="120" t="s">
        <v>959</v>
      </c>
      <c r="D437" s="88"/>
      <c r="E437" s="88"/>
      <c r="F437" s="120" t="s">
        <v>958</v>
      </c>
      <c r="G437" s="25" t="s">
        <v>145</v>
      </c>
      <c r="H437" s="85" t="s">
        <v>146</v>
      </c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116">
        <v>110.78</v>
      </c>
      <c r="V437" s="120">
        <v>135.65</v>
      </c>
      <c r="W437" s="120">
        <v>26.07</v>
      </c>
      <c r="X437" s="120" t="s">
        <v>207</v>
      </c>
      <c r="Y437" s="120">
        <v>16.559999999999999</v>
      </c>
      <c r="Z437" s="120" t="s">
        <v>207</v>
      </c>
      <c r="AA437" s="120">
        <v>16.510000000000002</v>
      </c>
      <c r="AB437" s="120" t="s">
        <v>207</v>
      </c>
      <c r="AC437" s="120">
        <v>11.9</v>
      </c>
      <c r="AD437" s="120" t="s">
        <v>207</v>
      </c>
      <c r="AE437" s="120">
        <v>4.97</v>
      </c>
      <c r="AF437" s="120" t="s">
        <v>207</v>
      </c>
      <c r="AG437" s="120">
        <v>0</v>
      </c>
      <c r="AH437" s="120" t="s">
        <v>207</v>
      </c>
      <c r="AI437" s="120">
        <v>0</v>
      </c>
      <c r="AJ437" s="118" t="s">
        <v>207</v>
      </c>
      <c r="AK437" s="120">
        <v>0</v>
      </c>
      <c r="AL437" s="118" t="s">
        <v>207</v>
      </c>
      <c r="AM437" s="120">
        <v>0.38</v>
      </c>
      <c r="AN437" s="118" t="s">
        <v>207</v>
      </c>
      <c r="AO437" s="120">
        <v>8.84</v>
      </c>
      <c r="AP437" s="120" t="s">
        <v>207</v>
      </c>
      <c r="AQ437" s="120">
        <v>11.87</v>
      </c>
      <c r="AR437" s="120" t="s">
        <v>207</v>
      </c>
      <c r="AS437" s="120">
        <v>13.68</v>
      </c>
      <c r="AT437" s="120" t="s">
        <v>207</v>
      </c>
      <c r="AU437" s="118">
        <f t="shared" si="27"/>
        <v>110.78</v>
      </c>
      <c r="AV437" s="88"/>
      <c r="AW437" s="88"/>
      <c r="AX437" s="88"/>
      <c r="AY437" s="88"/>
      <c r="AZ437" s="88"/>
    </row>
    <row r="438" spans="1:52" s="90" customFormat="1" ht="15" customHeight="1" x14ac:dyDescent="0.3">
      <c r="A438" s="114">
        <v>427</v>
      </c>
      <c r="B438" s="174" t="s">
        <v>1119</v>
      </c>
      <c r="C438" s="120" t="s">
        <v>959</v>
      </c>
      <c r="D438" s="88"/>
      <c r="E438" s="88"/>
      <c r="F438" s="120" t="s">
        <v>958</v>
      </c>
      <c r="G438" s="25" t="s">
        <v>145</v>
      </c>
      <c r="H438" s="85" t="s">
        <v>146</v>
      </c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116">
        <v>363.58</v>
      </c>
      <c r="V438" s="120">
        <v>423.11</v>
      </c>
      <c r="W438" s="120">
        <v>55.71</v>
      </c>
      <c r="X438" s="120" t="s">
        <v>207</v>
      </c>
      <c r="Y438" s="120">
        <v>61.39</v>
      </c>
      <c r="Z438" s="120" t="s">
        <v>207</v>
      </c>
      <c r="AA438" s="120">
        <v>59.35</v>
      </c>
      <c r="AB438" s="120" t="s">
        <v>207</v>
      </c>
      <c r="AC438" s="120">
        <v>45.25</v>
      </c>
      <c r="AD438" s="120" t="s">
        <v>207</v>
      </c>
      <c r="AE438" s="120">
        <v>19.87</v>
      </c>
      <c r="AF438" s="120" t="s">
        <v>207</v>
      </c>
      <c r="AG438" s="120">
        <v>0</v>
      </c>
      <c r="AH438" s="120" t="s">
        <v>207</v>
      </c>
      <c r="AI438" s="120">
        <v>0</v>
      </c>
      <c r="AJ438" s="118" t="s">
        <v>207</v>
      </c>
      <c r="AK438" s="120">
        <v>0</v>
      </c>
      <c r="AL438" s="118" t="s">
        <v>207</v>
      </c>
      <c r="AM438" s="120">
        <v>0.87</v>
      </c>
      <c r="AN438" s="118" t="s">
        <v>207</v>
      </c>
      <c r="AO438" s="120">
        <v>27.63</v>
      </c>
      <c r="AP438" s="120" t="s">
        <v>207</v>
      </c>
      <c r="AQ438" s="120">
        <v>39.99</v>
      </c>
      <c r="AR438" s="120" t="s">
        <v>207</v>
      </c>
      <c r="AS438" s="120">
        <v>53.52</v>
      </c>
      <c r="AT438" s="120" t="s">
        <v>207</v>
      </c>
      <c r="AU438" s="118">
        <f t="shared" si="27"/>
        <v>363.58</v>
      </c>
      <c r="AV438" s="88"/>
      <c r="AW438" s="88"/>
      <c r="AX438" s="88"/>
      <c r="AY438" s="88"/>
      <c r="AZ438" s="88"/>
    </row>
    <row r="439" spans="1:52" s="90" customFormat="1" ht="15" customHeight="1" x14ac:dyDescent="0.3">
      <c r="A439" s="114">
        <v>428</v>
      </c>
      <c r="B439" s="174" t="s">
        <v>1120</v>
      </c>
      <c r="C439" s="120" t="s">
        <v>959</v>
      </c>
      <c r="D439" s="88"/>
      <c r="E439" s="88"/>
      <c r="F439" s="120" t="s">
        <v>958</v>
      </c>
      <c r="G439" s="25" t="s">
        <v>145</v>
      </c>
      <c r="H439" s="85" t="s">
        <v>146</v>
      </c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116">
        <v>261.45</v>
      </c>
      <c r="V439" s="120">
        <v>301.16000000000003</v>
      </c>
      <c r="W439" s="120">
        <v>41.59</v>
      </c>
      <c r="X439" s="120" t="s">
        <v>207</v>
      </c>
      <c r="Y439" s="120">
        <v>45.4</v>
      </c>
      <c r="Z439" s="120" t="s">
        <v>207</v>
      </c>
      <c r="AA439" s="120">
        <v>38.61</v>
      </c>
      <c r="AB439" s="120" t="s">
        <v>207</v>
      </c>
      <c r="AC439" s="120">
        <v>29.66</v>
      </c>
      <c r="AD439" s="120" t="s">
        <v>207</v>
      </c>
      <c r="AE439" s="120">
        <v>18.22</v>
      </c>
      <c r="AF439" s="120" t="s">
        <v>207</v>
      </c>
      <c r="AG439" s="120">
        <v>0</v>
      </c>
      <c r="AH439" s="120" t="s">
        <v>207</v>
      </c>
      <c r="AI439" s="120">
        <v>0</v>
      </c>
      <c r="AJ439" s="118" t="s">
        <v>207</v>
      </c>
      <c r="AK439" s="120">
        <v>0</v>
      </c>
      <c r="AL439" s="118" t="s">
        <v>207</v>
      </c>
      <c r="AM439" s="120">
        <v>1</v>
      </c>
      <c r="AN439" s="118" t="s">
        <v>207</v>
      </c>
      <c r="AO439" s="120">
        <v>22.82</v>
      </c>
      <c r="AP439" s="120" t="s">
        <v>207</v>
      </c>
      <c r="AQ439" s="120">
        <v>29.58</v>
      </c>
      <c r="AR439" s="120" t="s">
        <v>207</v>
      </c>
      <c r="AS439" s="120">
        <v>34.57</v>
      </c>
      <c r="AT439" s="120" t="s">
        <v>207</v>
      </c>
      <c r="AU439" s="118">
        <f t="shared" si="27"/>
        <v>261.45</v>
      </c>
      <c r="AV439" s="88"/>
      <c r="AW439" s="88"/>
      <c r="AX439" s="88"/>
      <c r="AY439" s="88"/>
      <c r="AZ439" s="88"/>
    </row>
    <row r="440" spans="1:52" s="90" customFormat="1" ht="15" customHeight="1" x14ac:dyDescent="0.3">
      <c r="A440" s="114">
        <v>429</v>
      </c>
      <c r="B440" s="174" t="s">
        <v>1121</v>
      </c>
      <c r="C440" s="120" t="s">
        <v>959</v>
      </c>
      <c r="D440" s="88"/>
      <c r="E440" s="88"/>
      <c r="F440" s="120" t="s">
        <v>958</v>
      </c>
      <c r="G440" s="25" t="s">
        <v>145</v>
      </c>
      <c r="H440" s="85" t="s">
        <v>146</v>
      </c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116">
        <v>271.58</v>
      </c>
      <c r="V440" s="120">
        <v>277.41000000000003</v>
      </c>
      <c r="W440" s="120">
        <v>55.43</v>
      </c>
      <c r="X440" s="120" t="s">
        <v>207</v>
      </c>
      <c r="Y440" s="120">
        <v>48.14</v>
      </c>
      <c r="Z440" s="120" t="s">
        <v>207</v>
      </c>
      <c r="AA440" s="120">
        <v>49.87</v>
      </c>
      <c r="AB440" s="120" t="s">
        <v>207</v>
      </c>
      <c r="AC440" s="120">
        <v>31.84</v>
      </c>
      <c r="AD440" s="120" t="s">
        <v>207</v>
      </c>
      <c r="AE440" s="120">
        <v>0</v>
      </c>
      <c r="AF440" s="120" t="s">
        <v>207</v>
      </c>
      <c r="AG440" s="120">
        <v>0</v>
      </c>
      <c r="AH440" s="120" t="s">
        <v>207</v>
      </c>
      <c r="AI440" s="120">
        <v>0</v>
      </c>
      <c r="AJ440" s="118" t="s">
        <v>207</v>
      </c>
      <c r="AK440" s="120">
        <v>0</v>
      </c>
      <c r="AL440" s="118" t="s">
        <v>207</v>
      </c>
      <c r="AM440" s="120">
        <v>0.09</v>
      </c>
      <c r="AN440" s="118" t="s">
        <v>207</v>
      </c>
      <c r="AO440" s="120">
        <v>19.809999999999999</v>
      </c>
      <c r="AP440" s="120" t="s">
        <v>207</v>
      </c>
      <c r="AQ440" s="120">
        <v>30.89</v>
      </c>
      <c r="AR440" s="120" t="s">
        <v>207</v>
      </c>
      <c r="AS440" s="120">
        <v>35.51</v>
      </c>
      <c r="AT440" s="120" t="s">
        <v>207</v>
      </c>
      <c r="AU440" s="118">
        <f t="shared" si="27"/>
        <v>271.58</v>
      </c>
      <c r="AV440" s="88"/>
      <c r="AW440" s="88"/>
      <c r="AX440" s="88"/>
      <c r="AY440" s="88"/>
      <c r="AZ440" s="88"/>
    </row>
    <row r="441" spans="1:52" s="90" customFormat="1" ht="15" customHeight="1" x14ac:dyDescent="0.3">
      <c r="A441" s="114">
        <v>430</v>
      </c>
      <c r="B441" s="174" t="s">
        <v>1122</v>
      </c>
      <c r="C441" s="120" t="s">
        <v>959</v>
      </c>
      <c r="D441" s="88"/>
      <c r="E441" s="88"/>
      <c r="F441" s="120" t="s">
        <v>958</v>
      </c>
      <c r="G441" s="25" t="s">
        <v>145</v>
      </c>
      <c r="H441" s="85" t="s">
        <v>146</v>
      </c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116">
        <v>356.2</v>
      </c>
      <c r="V441" s="120">
        <v>403.77</v>
      </c>
      <c r="W441" s="120">
        <v>71.349999999999994</v>
      </c>
      <c r="X441" s="120" t="s">
        <v>207</v>
      </c>
      <c r="Y441" s="120">
        <v>45.94</v>
      </c>
      <c r="Z441" s="120" t="s">
        <v>207</v>
      </c>
      <c r="AA441" s="120">
        <v>57.44</v>
      </c>
      <c r="AB441" s="120" t="s">
        <v>207</v>
      </c>
      <c r="AC441" s="120">
        <v>42.47</v>
      </c>
      <c r="AD441" s="120" t="s">
        <v>207</v>
      </c>
      <c r="AE441" s="120">
        <v>17.38</v>
      </c>
      <c r="AF441" s="120" t="s">
        <v>207</v>
      </c>
      <c r="AG441" s="120">
        <v>0</v>
      </c>
      <c r="AH441" s="120" t="s">
        <v>207</v>
      </c>
      <c r="AI441" s="120">
        <v>0</v>
      </c>
      <c r="AJ441" s="118" t="s">
        <v>207</v>
      </c>
      <c r="AK441" s="120">
        <v>0</v>
      </c>
      <c r="AL441" s="118" t="s">
        <v>207</v>
      </c>
      <c r="AM441" s="120">
        <v>1.1399999999999999</v>
      </c>
      <c r="AN441" s="118" t="s">
        <v>207</v>
      </c>
      <c r="AO441" s="120">
        <v>26.94</v>
      </c>
      <c r="AP441" s="120" t="s">
        <v>207</v>
      </c>
      <c r="AQ441" s="120">
        <v>42.86</v>
      </c>
      <c r="AR441" s="120" t="s">
        <v>207</v>
      </c>
      <c r="AS441" s="120">
        <v>50.68</v>
      </c>
      <c r="AT441" s="120" t="s">
        <v>207</v>
      </c>
      <c r="AU441" s="118">
        <f t="shared" si="27"/>
        <v>356.2</v>
      </c>
      <c r="AV441" s="88"/>
      <c r="AW441" s="88"/>
      <c r="AX441" s="88"/>
      <c r="AY441" s="88"/>
      <c r="AZ441" s="88"/>
    </row>
    <row r="442" spans="1:52" s="90" customFormat="1" ht="15" customHeight="1" x14ac:dyDescent="0.3">
      <c r="A442" s="114">
        <v>431</v>
      </c>
      <c r="B442" s="174" t="s">
        <v>1123</v>
      </c>
      <c r="C442" s="120" t="s">
        <v>959</v>
      </c>
      <c r="D442" s="88"/>
      <c r="E442" s="88"/>
      <c r="F442" s="120" t="s">
        <v>958</v>
      </c>
      <c r="G442" s="25" t="s">
        <v>145</v>
      </c>
      <c r="H442" s="85" t="s">
        <v>146</v>
      </c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116">
        <v>477.1</v>
      </c>
      <c r="V442" s="120">
        <v>470.26</v>
      </c>
      <c r="W442" s="120">
        <v>85.58</v>
      </c>
      <c r="X442" s="120" t="s">
        <v>207</v>
      </c>
      <c r="Y442" s="120">
        <v>80.02</v>
      </c>
      <c r="Z442" s="120" t="s">
        <v>207</v>
      </c>
      <c r="AA442" s="120">
        <v>79.56</v>
      </c>
      <c r="AB442" s="120" t="s">
        <v>207</v>
      </c>
      <c r="AC442" s="120">
        <v>57.32</v>
      </c>
      <c r="AD442" s="120" t="s">
        <v>207</v>
      </c>
      <c r="AE442" s="120">
        <v>18.68</v>
      </c>
      <c r="AF442" s="120" t="s">
        <v>207</v>
      </c>
      <c r="AG442" s="120">
        <v>0</v>
      </c>
      <c r="AH442" s="120" t="s">
        <v>207</v>
      </c>
      <c r="AI442" s="120">
        <v>0</v>
      </c>
      <c r="AJ442" s="118" t="s">
        <v>207</v>
      </c>
      <c r="AK442" s="120">
        <v>0</v>
      </c>
      <c r="AL442" s="118" t="s">
        <v>207</v>
      </c>
      <c r="AM442" s="120">
        <v>0</v>
      </c>
      <c r="AN442" s="118" t="s">
        <v>207</v>
      </c>
      <c r="AO442" s="120">
        <v>39.46</v>
      </c>
      <c r="AP442" s="120" t="s">
        <v>207</v>
      </c>
      <c r="AQ442" s="120">
        <v>53.52</v>
      </c>
      <c r="AR442" s="120" t="s">
        <v>207</v>
      </c>
      <c r="AS442" s="120">
        <v>62.96</v>
      </c>
      <c r="AT442" s="120" t="s">
        <v>207</v>
      </c>
      <c r="AU442" s="118">
        <f t="shared" si="27"/>
        <v>477.09999999999997</v>
      </c>
      <c r="AV442" s="88"/>
      <c r="AW442" s="88"/>
      <c r="AX442" s="88"/>
      <c r="AY442" s="88"/>
      <c r="AZ442" s="88"/>
    </row>
    <row r="443" spans="1:52" s="90" customFormat="1" ht="15" customHeight="1" x14ac:dyDescent="0.3">
      <c r="A443" s="114">
        <v>432</v>
      </c>
      <c r="B443" s="174" t="s">
        <v>1124</v>
      </c>
      <c r="C443" s="120" t="s">
        <v>804</v>
      </c>
      <c r="D443" s="88"/>
      <c r="E443" s="88"/>
      <c r="F443" s="120" t="s">
        <v>958</v>
      </c>
      <c r="G443" s="25" t="s">
        <v>145</v>
      </c>
      <c r="H443" s="85" t="s">
        <v>146</v>
      </c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116">
        <v>165.56</v>
      </c>
      <c r="V443" s="120">
        <v>239.26</v>
      </c>
      <c r="W443" s="120">
        <v>18.670000000000002</v>
      </c>
      <c r="X443" s="120" t="s">
        <v>207</v>
      </c>
      <c r="Y443" s="120">
        <v>18.420000000000002</v>
      </c>
      <c r="Z443" s="120" t="s">
        <v>207</v>
      </c>
      <c r="AA443" s="120">
        <v>24.1</v>
      </c>
      <c r="AB443" s="120" t="s">
        <v>207</v>
      </c>
      <c r="AC443" s="120">
        <v>20.7</v>
      </c>
      <c r="AD443" s="120" t="s">
        <v>207</v>
      </c>
      <c r="AE443" s="120">
        <v>8.4</v>
      </c>
      <c r="AF443" s="120" t="s">
        <v>207</v>
      </c>
      <c r="AG443" s="120">
        <v>0</v>
      </c>
      <c r="AH443" s="120" t="s">
        <v>207</v>
      </c>
      <c r="AI443" s="120">
        <v>0</v>
      </c>
      <c r="AJ443" s="118" t="s">
        <v>207</v>
      </c>
      <c r="AK443" s="120">
        <v>0</v>
      </c>
      <c r="AL443" s="118" t="s">
        <v>207</v>
      </c>
      <c r="AM443" s="120">
        <v>0</v>
      </c>
      <c r="AN443" s="118" t="s">
        <v>207</v>
      </c>
      <c r="AO443" s="120">
        <v>19.32</v>
      </c>
      <c r="AP443" s="120" t="s">
        <v>207</v>
      </c>
      <c r="AQ443" s="120">
        <v>17.600000000000001</v>
      </c>
      <c r="AR443" s="120" t="s">
        <v>207</v>
      </c>
      <c r="AS443" s="120">
        <v>28.2</v>
      </c>
      <c r="AT443" s="120" t="s">
        <v>207</v>
      </c>
      <c r="AU443" s="118">
        <f t="shared" si="27"/>
        <v>155.41</v>
      </c>
      <c r="AV443" s="88"/>
      <c r="AW443" s="88"/>
      <c r="AX443" s="88"/>
      <c r="AY443" s="88"/>
      <c r="AZ443" s="88"/>
    </row>
    <row r="444" spans="1:52" s="90" customFormat="1" ht="15" customHeight="1" x14ac:dyDescent="0.3">
      <c r="A444" s="114">
        <v>433</v>
      </c>
      <c r="B444" s="174" t="s">
        <v>1125</v>
      </c>
      <c r="C444" s="120" t="s">
        <v>804</v>
      </c>
      <c r="D444" s="88"/>
      <c r="E444" s="88"/>
      <c r="F444" s="120" t="s">
        <v>958</v>
      </c>
      <c r="G444" s="25" t="s">
        <v>145</v>
      </c>
      <c r="H444" s="85" t="s">
        <v>146</v>
      </c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116"/>
      <c r="V444" s="120"/>
      <c r="W444" s="120">
        <v>25.68</v>
      </c>
      <c r="X444" s="120" t="s">
        <v>207</v>
      </c>
      <c r="Y444" s="120">
        <v>25.42</v>
      </c>
      <c r="Z444" s="120" t="s">
        <v>207</v>
      </c>
      <c r="AA444" s="120">
        <v>41.2</v>
      </c>
      <c r="AB444" s="120" t="s">
        <v>207</v>
      </c>
      <c r="AC444" s="120">
        <v>35.090000000000003</v>
      </c>
      <c r="AD444" s="120" t="s">
        <v>207</v>
      </c>
      <c r="AE444" s="120">
        <v>12.74</v>
      </c>
      <c r="AF444" s="120" t="s">
        <v>207</v>
      </c>
      <c r="AG444" s="120">
        <v>17.45</v>
      </c>
      <c r="AH444" s="120" t="s">
        <v>207</v>
      </c>
      <c r="AI444" s="120">
        <v>23.15</v>
      </c>
      <c r="AJ444" s="118" t="s">
        <v>207</v>
      </c>
      <c r="AK444" s="120">
        <v>16.579999999999998</v>
      </c>
      <c r="AL444" s="118" t="s">
        <v>207</v>
      </c>
      <c r="AM444" s="120">
        <v>16.62</v>
      </c>
      <c r="AN444" s="118" t="s">
        <v>207</v>
      </c>
      <c r="AO444" s="120">
        <v>33.04</v>
      </c>
      <c r="AP444" s="120" t="s">
        <v>207</v>
      </c>
      <c r="AQ444" s="120">
        <v>29.11</v>
      </c>
      <c r="AR444" s="120" t="s">
        <v>207</v>
      </c>
      <c r="AS444" s="120">
        <v>48</v>
      </c>
      <c r="AT444" s="120" t="s">
        <v>207</v>
      </c>
      <c r="AU444" s="118">
        <f t="shared" si="27"/>
        <v>324.08</v>
      </c>
      <c r="AV444" s="88"/>
      <c r="AW444" s="88"/>
      <c r="AX444" s="88"/>
      <c r="AY444" s="88"/>
      <c r="AZ444" s="88"/>
    </row>
    <row r="445" spans="1:52" s="90" customFormat="1" ht="15" customHeight="1" x14ac:dyDescent="0.3">
      <c r="A445" s="114">
        <v>434</v>
      </c>
      <c r="B445" s="174" t="s">
        <v>1126</v>
      </c>
      <c r="C445" s="120" t="s">
        <v>804</v>
      </c>
      <c r="D445" s="88"/>
      <c r="E445" s="88"/>
      <c r="F445" s="120" t="s">
        <v>958</v>
      </c>
      <c r="G445" s="25" t="s">
        <v>145</v>
      </c>
      <c r="H445" s="85" t="s">
        <v>146</v>
      </c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116"/>
      <c r="V445" s="120"/>
      <c r="W445" s="120">
        <v>48.59</v>
      </c>
      <c r="X445" s="120" t="s">
        <v>207</v>
      </c>
      <c r="Y445" s="120">
        <v>48.03</v>
      </c>
      <c r="Z445" s="120" t="s">
        <v>207</v>
      </c>
      <c r="AA445" s="120">
        <v>20.98</v>
      </c>
      <c r="AB445" s="120" t="s">
        <v>207</v>
      </c>
      <c r="AC445" s="120">
        <v>46.45</v>
      </c>
      <c r="AD445" s="120" t="s">
        <v>207</v>
      </c>
      <c r="AE445" s="120">
        <v>15.91</v>
      </c>
      <c r="AF445" s="120" t="s">
        <v>207</v>
      </c>
      <c r="AG445" s="120">
        <v>8.16</v>
      </c>
      <c r="AH445" s="120" t="s">
        <v>207</v>
      </c>
      <c r="AI445" s="120">
        <v>7.86</v>
      </c>
      <c r="AJ445" s="118" t="s">
        <v>207</v>
      </c>
      <c r="AK445" s="120">
        <v>6.38</v>
      </c>
      <c r="AL445" s="118" t="s">
        <v>207</v>
      </c>
      <c r="AM445" s="120">
        <v>9.18</v>
      </c>
      <c r="AN445" s="118" t="s">
        <v>207</v>
      </c>
      <c r="AO445" s="120">
        <v>53.52</v>
      </c>
      <c r="AP445" s="120" t="s">
        <v>207</v>
      </c>
      <c r="AQ445" s="120">
        <v>38.28</v>
      </c>
      <c r="AR445" s="120" t="s">
        <v>207</v>
      </c>
      <c r="AS445" s="120">
        <v>58.34</v>
      </c>
      <c r="AT445" s="120" t="s">
        <v>207</v>
      </c>
      <c r="AU445" s="118">
        <f t="shared" ref="AU445:AU508" si="28">SUM(W445,Y445,AA445,AC445,AE445,AG445,AI445,AW445,AK445,AM445,AO445,AQ445,AS445)</f>
        <v>361.68000000000006</v>
      </c>
      <c r="AV445" s="88"/>
      <c r="AW445" s="88"/>
      <c r="AX445" s="88"/>
      <c r="AY445" s="88"/>
      <c r="AZ445" s="88"/>
    </row>
    <row r="446" spans="1:52" s="90" customFormat="1" ht="15" customHeight="1" x14ac:dyDescent="0.3">
      <c r="A446" s="114">
        <v>435</v>
      </c>
      <c r="B446" s="174" t="s">
        <v>1127</v>
      </c>
      <c r="C446" s="120" t="s">
        <v>804</v>
      </c>
      <c r="D446" s="88"/>
      <c r="E446" s="88"/>
      <c r="F446" s="120" t="s">
        <v>958</v>
      </c>
      <c r="G446" s="25" t="s">
        <v>145</v>
      </c>
      <c r="H446" s="85" t="s">
        <v>146</v>
      </c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116">
        <v>168.1</v>
      </c>
      <c r="V446" s="120">
        <v>222.9</v>
      </c>
      <c r="W446" s="120">
        <v>12.3</v>
      </c>
      <c r="X446" s="120" t="s">
        <v>207</v>
      </c>
      <c r="Y446" s="120">
        <v>14.86</v>
      </c>
      <c r="Z446" s="120" t="s">
        <v>207</v>
      </c>
      <c r="AA446" s="120">
        <v>29.1</v>
      </c>
      <c r="AB446" s="120" t="s">
        <v>207</v>
      </c>
      <c r="AC446" s="120">
        <v>11.7</v>
      </c>
      <c r="AD446" s="120" t="s">
        <v>207</v>
      </c>
      <c r="AE446" s="120">
        <v>2.4</v>
      </c>
      <c r="AF446" s="120" t="s">
        <v>207</v>
      </c>
      <c r="AG446" s="120">
        <v>0</v>
      </c>
      <c r="AH446" s="120" t="s">
        <v>207</v>
      </c>
      <c r="AI446" s="120">
        <v>0</v>
      </c>
      <c r="AJ446" s="118" t="s">
        <v>207</v>
      </c>
      <c r="AK446" s="120">
        <v>0</v>
      </c>
      <c r="AL446" s="118" t="s">
        <v>207</v>
      </c>
      <c r="AM446" s="120">
        <v>0</v>
      </c>
      <c r="AN446" s="118" t="s">
        <v>207</v>
      </c>
      <c r="AO446" s="120">
        <v>20.5</v>
      </c>
      <c r="AP446" s="120" t="s">
        <v>207</v>
      </c>
      <c r="AQ446" s="120">
        <v>18.600000000000001</v>
      </c>
      <c r="AR446" s="120" t="s">
        <v>207</v>
      </c>
      <c r="AS446" s="120">
        <v>18.3</v>
      </c>
      <c r="AT446" s="120" t="s">
        <v>207</v>
      </c>
      <c r="AU446" s="118">
        <f t="shared" si="28"/>
        <v>127.76</v>
      </c>
      <c r="AV446" s="88"/>
      <c r="AW446" s="88"/>
      <c r="AX446" s="88"/>
      <c r="AY446" s="88"/>
      <c r="AZ446" s="88"/>
    </row>
    <row r="447" spans="1:52" s="90" customFormat="1" ht="15" customHeight="1" x14ac:dyDescent="0.3">
      <c r="A447" s="114">
        <v>436</v>
      </c>
      <c r="B447" s="174" t="s">
        <v>1128</v>
      </c>
      <c r="C447" s="120" t="s">
        <v>804</v>
      </c>
      <c r="D447" s="88"/>
      <c r="E447" s="88"/>
      <c r="F447" s="120" t="s">
        <v>958</v>
      </c>
      <c r="G447" s="25" t="s">
        <v>145</v>
      </c>
      <c r="H447" s="85" t="s">
        <v>146</v>
      </c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116">
        <v>553.32000000000005</v>
      </c>
      <c r="V447" s="120">
        <f>34.19+671.62</f>
        <v>705.81</v>
      </c>
      <c r="W447" s="120">
        <v>68.930000000000007</v>
      </c>
      <c r="X447" s="120" t="s">
        <v>207</v>
      </c>
      <c r="Y447" s="120">
        <v>67.400000000000006</v>
      </c>
      <c r="Z447" s="120" t="s">
        <v>207</v>
      </c>
      <c r="AA447" s="120">
        <v>90.78</v>
      </c>
      <c r="AB447" s="120" t="s">
        <v>207</v>
      </c>
      <c r="AC447" s="120">
        <v>51.32</v>
      </c>
      <c r="AD447" s="120" t="s">
        <v>207</v>
      </c>
      <c r="AE447" s="120">
        <v>17.91</v>
      </c>
      <c r="AF447" s="120" t="s">
        <v>207</v>
      </c>
      <c r="AG447" s="120">
        <v>6.84</v>
      </c>
      <c r="AH447" s="120" t="s">
        <v>207</v>
      </c>
      <c r="AI447" s="120">
        <v>7.49</v>
      </c>
      <c r="AJ447" s="118" t="s">
        <v>207</v>
      </c>
      <c r="AK447" s="120">
        <v>6.38</v>
      </c>
      <c r="AL447" s="118" t="s">
        <v>207</v>
      </c>
      <c r="AM447" s="120">
        <v>9.1300000000000008</v>
      </c>
      <c r="AN447" s="118" t="s">
        <v>207</v>
      </c>
      <c r="AO447" s="120">
        <v>60.61</v>
      </c>
      <c r="AP447" s="120" t="s">
        <v>207</v>
      </c>
      <c r="AQ447" s="120">
        <v>49.66</v>
      </c>
      <c r="AR447" s="120" t="s">
        <v>207</v>
      </c>
      <c r="AS447" s="120">
        <v>68.510000000000005</v>
      </c>
      <c r="AT447" s="120" t="s">
        <v>207</v>
      </c>
      <c r="AU447" s="118">
        <f t="shared" si="28"/>
        <v>504.96000000000004</v>
      </c>
      <c r="AV447" s="88"/>
      <c r="AW447" s="88"/>
      <c r="AX447" s="88"/>
      <c r="AY447" s="88"/>
      <c r="AZ447" s="88"/>
    </row>
    <row r="448" spans="1:52" s="90" customFormat="1" ht="15" customHeight="1" x14ac:dyDescent="0.3">
      <c r="A448" s="114">
        <v>437</v>
      </c>
      <c r="B448" s="174" t="s">
        <v>1129</v>
      </c>
      <c r="C448" s="120" t="s">
        <v>804</v>
      </c>
      <c r="D448" s="88"/>
      <c r="E448" s="88"/>
      <c r="F448" s="120" t="s">
        <v>958</v>
      </c>
      <c r="G448" s="25" t="s">
        <v>145</v>
      </c>
      <c r="H448" s="85" t="s">
        <v>146</v>
      </c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116">
        <v>1037.77</v>
      </c>
      <c r="V448" s="120">
        <v>1363.3</v>
      </c>
      <c r="W448" s="120">
        <v>108.99</v>
      </c>
      <c r="X448" s="120" t="s">
        <v>207</v>
      </c>
      <c r="Y448" s="120">
        <v>107.44</v>
      </c>
      <c r="Z448" s="120" t="s">
        <v>207</v>
      </c>
      <c r="AA448" s="120">
        <v>141.4</v>
      </c>
      <c r="AB448" s="120" t="s">
        <v>207</v>
      </c>
      <c r="AC448" s="120">
        <v>84.6</v>
      </c>
      <c r="AD448" s="120" t="s">
        <v>207</v>
      </c>
      <c r="AE448" s="120">
        <v>36.479999999999997</v>
      </c>
      <c r="AF448" s="120" t="s">
        <v>207</v>
      </c>
      <c r="AG448" s="120">
        <v>21.01</v>
      </c>
      <c r="AH448" s="120" t="s">
        <v>207</v>
      </c>
      <c r="AI448" s="120">
        <v>20.88</v>
      </c>
      <c r="AJ448" s="118" t="s">
        <v>207</v>
      </c>
      <c r="AK448" s="120">
        <v>17.329999999999998</v>
      </c>
      <c r="AL448" s="118" t="s">
        <v>207</v>
      </c>
      <c r="AM448" s="120">
        <v>21.57</v>
      </c>
      <c r="AN448" s="118" t="s">
        <v>207</v>
      </c>
      <c r="AO448" s="120">
        <v>86.47</v>
      </c>
      <c r="AP448" s="120" t="s">
        <v>207</v>
      </c>
      <c r="AQ448" s="120">
        <v>83.92</v>
      </c>
      <c r="AR448" s="120" t="s">
        <v>207</v>
      </c>
      <c r="AS448" s="120">
        <v>106.56</v>
      </c>
      <c r="AT448" s="120" t="s">
        <v>207</v>
      </c>
      <c r="AU448" s="118">
        <f t="shared" si="28"/>
        <v>836.65000000000009</v>
      </c>
      <c r="AV448" s="88"/>
      <c r="AW448" s="88"/>
      <c r="AX448" s="88"/>
      <c r="AY448" s="88"/>
      <c r="AZ448" s="88"/>
    </row>
    <row r="449" spans="1:52" s="90" customFormat="1" ht="15" customHeight="1" x14ac:dyDescent="0.3">
      <c r="A449" s="114">
        <v>438</v>
      </c>
      <c r="B449" s="174" t="s">
        <v>1130</v>
      </c>
      <c r="C449" s="120" t="s">
        <v>804</v>
      </c>
      <c r="D449" s="88"/>
      <c r="E449" s="88"/>
      <c r="F449" s="120" t="s">
        <v>958</v>
      </c>
      <c r="G449" s="25" t="s">
        <v>145</v>
      </c>
      <c r="H449" s="85" t="s">
        <v>146</v>
      </c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116">
        <v>326.29000000000002</v>
      </c>
      <c r="V449" s="120">
        <v>406.8</v>
      </c>
      <c r="W449" s="120">
        <v>33.869999999999997</v>
      </c>
      <c r="X449" s="120" t="s">
        <v>207</v>
      </c>
      <c r="Y449" s="120">
        <v>35.07</v>
      </c>
      <c r="Z449" s="120" t="s">
        <v>207</v>
      </c>
      <c r="AA449" s="120">
        <v>49.01</v>
      </c>
      <c r="AB449" s="120" t="s">
        <v>207</v>
      </c>
      <c r="AC449" s="120">
        <v>29.37</v>
      </c>
      <c r="AD449" s="120" t="s">
        <v>207</v>
      </c>
      <c r="AE449" s="120">
        <v>12.73</v>
      </c>
      <c r="AF449" s="120" t="s">
        <v>207</v>
      </c>
      <c r="AG449" s="120">
        <v>6.94</v>
      </c>
      <c r="AH449" s="120" t="s">
        <v>207</v>
      </c>
      <c r="AI449" s="120">
        <v>6.99</v>
      </c>
      <c r="AJ449" s="118" t="s">
        <v>207</v>
      </c>
      <c r="AK449" s="120">
        <v>5.78</v>
      </c>
      <c r="AL449" s="118" t="s">
        <v>207</v>
      </c>
      <c r="AM449" s="120">
        <v>5.78</v>
      </c>
      <c r="AN449" s="118" t="s">
        <v>207</v>
      </c>
      <c r="AO449" s="120">
        <v>7.06</v>
      </c>
      <c r="AP449" s="120" t="s">
        <v>207</v>
      </c>
      <c r="AQ449" s="120">
        <v>29.99</v>
      </c>
      <c r="AR449" s="120" t="s">
        <v>207</v>
      </c>
      <c r="AS449" s="120">
        <v>29.14</v>
      </c>
      <c r="AT449" s="120" t="s">
        <v>207</v>
      </c>
      <c r="AU449" s="118">
        <f t="shared" si="28"/>
        <v>251.73000000000002</v>
      </c>
      <c r="AV449" s="88"/>
      <c r="AW449" s="88"/>
      <c r="AX449" s="88"/>
      <c r="AY449" s="88"/>
      <c r="AZ449" s="88"/>
    </row>
    <row r="450" spans="1:52" s="90" customFormat="1" ht="15" customHeight="1" x14ac:dyDescent="0.3">
      <c r="A450" s="114">
        <v>439</v>
      </c>
      <c r="B450" s="174" t="s">
        <v>1131</v>
      </c>
      <c r="C450" s="120" t="s">
        <v>804</v>
      </c>
      <c r="D450" s="88"/>
      <c r="E450" s="88"/>
      <c r="F450" s="120" t="s">
        <v>958</v>
      </c>
      <c r="G450" s="25" t="s">
        <v>145</v>
      </c>
      <c r="H450" s="85" t="s">
        <v>146</v>
      </c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116">
        <v>243.07</v>
      </c>
      <c r="V450" s="120">
        <v>306.08</v>
      </c>
      <c r="W450" s="120">
        <v>36.78</v>
      </c>
      <c r="X450" s="120" t="s">
        <v>207</v>
      </c>
      <c r="Y450" s="120">
        <v>35.729999999999997</v>
      </c>
      <c r="Z450" s="120" t="s">
        <v>207</v>
      </c>
      <c r="AA450" s="120">
        <v>37.46</v>
      </c>
      <c r="AB450" s="120" t="s">
        <v>207</v>
      </c>
      <c r="AC450" s="120">
        <v>22.43</v>
      </c>
      <c r="AD450" s="120" t="s">
        <v>207</v>
      </c>
      <c r="AE450" s="120">
        <v>9.9600000000000009</v>
      </c>
      <c r="AF450" s="120" t="s">
        <v>207</v>
      </c>
      <c r="AG450" s="120">
        <v>3.47</v>
      </c>
      <c r="AH450" s="120" t="s">
        <v>207</v>
      </c>
      <c r="AI450" s="120">
        <v>3.45</v>
      </c>
      <c r="AJ450" s="118" t="s">
        <v>207</v>
      </c>
      <c r="AK450" s="120">
        <v>2.94</v>
      </c>
      <c r="AL450" s="118" t="s">
        <v>207</v>
      </c>
      <c r="AM450" s="120">
        <v>3.48</v>
      </c>
      <c r="AN450" s="118" t="s">
        <v>207</v>
      </c>
      <c r="AO450" s="120">
        <v>23.3</v>
      </c>
      <c r="AP450" s="120" t="s">
        <v>207</v>
      </c>
      <c r="AQ450" s="120">
        <v>22.57</v>
      </c>
      <c r="AR450" s="120" t="s">
        <v>207</v>
      </c>
      <c r="AS450" s="120">
        <v>28.34</v>
      </c>
      <c r="AT450" s="120" t="s">
        <v>207</v>
      </c>
      <c r="AU450" s="118">
        <f t="shared" si="28"/>
        <v>229.91</v>
      </c>
      <c r="AV450" s="88"/>
      <c r="AW450" s="88"/>
      <c r="AX450" s="88"/>
      <c r="AY450" s="88"/>
      <c r="AZ450" s="88"/>
    </row>
    <row r="451" spans="1:52" s="90" customFormat="1" ht="15" customHeight="1" x14ac:dyDescent="0.3">
      <c r="A451" s="114">
        <v>440</v>
      </c>
      <c r="B451" s="174" t="s">
        <v>1132</v>
      </c>
      <c r="C451" s="120" t="s">
        <v>804</v>
      </c>
      <c r="D451" s="88"/>
      <c r="E451" s="88"/>
      <c r="F451" s="120" t="s">
        <v>958</v>
      </c>
      <c r="G451" s="25" t="s">
        <v>145</v>
      </c>
      <c r="H451" s="85" t="s">
        <v>146</v>
      </c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116">
        <v>463.08</v>
      </c>
      <c r="V451" s="120">
        <v>441.64</v>
      </c>
      <c r="W451" s="120">
        <v>43.48</v>
      </c>
      <c r="X451" s="120" t="s">
        <v>207</v>
      </c>
      <c r="Y451" s="120">
        <v>44.31</v>
      </c>
      <c r="Z451" s="120" t="s">
        <v>207</v>
      </c>
      <c r="AA451" s="120">
        <v>80.38</v>
      </c>
      <c r="AB451" s="120" t="s">
        <v>207</v>
      </c>
      <c r="AC451" s="120">
        <v>72.58</v>
      </c>
      <c r="AD451" s="120" t="s">
        <v>207</v>
      </c>
      <c r="AE451" s="120">
        <v>29.58</v>
      </c>
      <c r="AF451" s="120" t="s">
        <v>207</v>
      </c>
      <c r="AG451" s="120">
        <v>11.17</v>
      </c>
      <c r="AH451" s="120" t="s">
        <v>207</v>
      </c>
      <c r="AI451" s="120">
        <v>8.8800000000000008</v>
      </c>
      <c r="AJ451" s="118" t="s">
        <v>207</v>
      </c>
      <c r="AK451" s="120">
        <v>7.88</v>
      </c>
      <c r="AL451" s="118" t="s">
        <v>207</v>
      </c>
      <c r="AM451" s="120">
        <v>7.59</v>
      </c>
      <c r="AN451" s="118" t="s">
        <v>207</v>
      </c>
      <c r="AO451" s="120">
        <v>52.72</v>
      </c>
      <c r="AP451" s="120" t="s">
        <v>207</v>
      </c>
      <c r="AQ451" s="120">
        <v>46.66</v>
      </c>
      <c r="AR451" s="120" t="s">
        <v>207</v>
      </c>
      <c r="AS451" s="120">
        <v>60.26</v>
      </c>
      <c r="AT451" s="120" t="s">
        <v>207</v>
      </c>
      <c r="AU451" s="118">
        <f t="shared" si="28"/>
        <v>465.4899999999999</v>
      </c>
      <c r="AV451" s="88"/>
      <c r="AW451" s="88"/>
      <c r="AX451" s="88"/>
      <c r="AY451" s="88"/>
      <c r="AZ451" s="88"/>
    </row>
    <row r="452" spans="1:52" s="90" customFormat="1" ht="15" customHeight="1" x14ac:dyDescent="0.3">
      <c r="A452" s="114">
        <v>441</v>
      </c>
      <c r="B452" s="174" t="s">
        <v>1133</v>
      </c>
      <c r="C452" s="120" t="s">
        <v>804</v>
      </c>
      <c r="D452" s="88"/>
      <c r="E452" s="88"/>
      <c r="F452" s="120" t="s">
        <v>958</v>
      </c>
      <c r="G452" s="25" t="s">
        <v>145</v>
      </c>
      <c r="H452" s="85" t="s">
        <v>146</v>
      </c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116"/>
      <c r="V452" s="120">
        <v>394.24</v>
      </c>
      <c r="W452" s="120">
        <v>29.05</v>
      </c>
      <c r="X452" s="120" t="s">
        <v>207</v>
      </c>
      <c r="Y452" s="120">
        <v>28.31</v>
      </c>
      <c r="Z452" s="120" t="s">
        <v>207</v>
      </c>
      <c r="AA452" s="120">
        <v>53.56</v>
      </c>
      <c r="AB452" s="120" t="s">
        <v>207</v>
      </c>
      <c r="AC452" s="120">
        <v>26.44</v>
      </c>
      <c r="AD452" s="120" t="s">
        <v>207</v>
      </c>
      <c r="AE452" s="120">
        <v>7.07</v>
      </c>
      <c r="AF452" s="120" t="s">
        <v>207</v>
      </c>
      <c r="AG452" s="120">
        <v>2.75</v>
      </c>
      <c r="AH452" s="120" t="s">
        <v>207</v>
      </c>
      <c r="AI452" s="120">
        <v>2.5299999999999998</v>
      </c>
      <c r="AJ452" s="118" t="s">
        <v>207</v>
      </c>
      <c r="AK452" s="120">
        <v>2.4900000000000002</v>
      </c>
      <c r="AL452" s="118" t="s">
        <v>207</v>
      </c>
      <c r="AM452" s="120">
        <v>3.46</v>
      </c>
      <c r="AN452" s="118" t="s">
        <v>207</v>
      </c>
      <c r="AO452" s="120">
        <v>38.880000000000003</v>
      </c>
      <c r="AP452" s="120" t="s">
        <v>207</v>
      </c>
      <c r="AQ452" s="120">
        <v>33.58</v>
      </c>
      <c r="AR452" s="120" t="s">
        <v>207</v>
      </c>
      <c r="AS452" s="120">
        <v>44.54</v>
      </c>
      <c r="AT452" s="120" t="s">
        <v>207</v>
      </c>
      <c r="AU452" s="118">
        <f t="shared" si="28"/>
        <v>272.66000000000003</v>
      </c>
      <c r="AV452" s="88"/>
      <c r="AW452" s="88"/>
      <c r="AX452" s="88"/>
      <c r="AY452" s="88"/>
      <c r="AZ452" s="88"/>
    </row>
    <row r="453" spans="1:52" s="90" customFormat="1" ht="15" customHeight="1" x14ac:dyDescent="0.3">
      <c r="A453" s="114">
        <v>442</v>
      </c>
      <c r="B453" s="174" t="s">
        <v>1134</v>
      </c>
      <c r="C453" s="120" t="s">
        <v>804</v>
      </c>
      <c r="D453" s="88"/>
      <c r="E453" s="88"/>
      <c r="F453" s="120" t="s">
        <v>958</v>
      </c>
      <c r="G453" s="25" t="s">
        <v>145</v>
      </c>
      <c r="H453" s="85" t="s">
        <v>146</v>
      </c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116"/>
      <c r="V453" s="120">
        <v>284.2</v>
      </c>
      <c r="W453" s="120">
        <v>31.12</v>
      </c>
      <c r="X453" s="120" t="s">
        <v>207</v>
      </c>
      <c r="Y453" s="120">
        <v>30.42</v>
      </c>
      <c r="Z453" s="120" t="s">
        <v>207</v>
      </c>
      <c r="AA453" s="120">
        <v>38.880000000000003</v>
      </c>
      <c r="AB453" s="120" t="s">
        <v>207</v>
      </c>
      <c r="AC453" s="120">
        <v>19.27</v>
      </c>
      <c r="AD453" s="120" t="s">
        <v>207</v>
      </c>
      <c r="AE453" s="120">
        <v>5.24</v>
      </c>
      <c r="AF453" s="120" t="s">
        <v>207</v>
      </c>
      <c r="AG453" s="120">
        <v>1.43</v>
      </c>
      <c r="AH453" s="120" t="s">
        <v>207</v>
      </c>
      <c r="AI453" s="120">
        <v>1.22</v>
      </c>
      <c r="AJ453" s="118" t="s">
        <v>207</v>
      </c>
      <c r="AK453" s="120">
        <v>1.2</v>
      </c>
      <c r="AL453" s="118" t="s">
        <v>207</v>
      </c>
      <c r="AM453" s="120">
        <v>1.79</v>
      </c>
      <c r="AN453" s="118" t="s">
        <v>207</v>
      </c>
      <c r="AO453" s="120">
        <v>29.12</v>
      </c>
      <c r="AP453" s="120" t="s">
        <v>207</v>
      </c>
      <c r="AQ453" s="120">
        <v>24.7</v>
      </c>
      <c r="AR453" s="120" t="s">
        <v>207</v>
      </c>
      <c r="AS453" s="120">
        <v>32.42</v>
      </c>
      <c r="AT453" s="120" t="s">
        <v>207</v>
      </c>
      <c r="AU453" s="118">
        <f t="shared" si="28"/>
        <v>216.81</v>
      </c>
      <c r="AV453" s="88"/>
      <c r="AW453" s="88"/>
      <c r="AX453" s="88"/>
      <c r="AY453" s="88"/>
      <c r="AZ453" s="88"/>
    </row>
    <row r="454" spans="1:52" s="90" customFormat="1" ht="15" customHeight="1" x14ac:dyDescent="0.3">
      <c r="A454" s="114">
        <v>443</v>
      </c>
      <c r="B454" s="174" t="s">
        <v>1135</v>
      </c>
      <c r="C454" s="120" t="s">
        <v>804</v>
      </c>
      <c r="D454" s="88"/>
      <c r="E454" s="88"/>
      <c r="F454" s="120" t="s">
        <v>958</v>
      </c>
      <c r="G454" s="25" t="s">
        <v>145</v>
      </c>
      <c r="H454" s="85" t="s">
        <v>146</v>
      </c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116">
        <v>344</v>
      </c>
      <c r="V454" s="120">
        <v>439.8</v>
      </c>
      <c r="W454" s="120">
        <v>75.72</v>
      </c>
      <c r="X454" s="120" t="s">
        <v>207</v>
      </c>
      <c r="Y454" s="120">
        <v>53.52</v>
      </c>
      <c r="Z454" s="120" t="s">
        <v>207</v>
      </c>
      <c r="AA454" s="120">
        <v>61</v>
      </c>
      <c r="AB454" s="120" t="s">
        <v>207</v>
      </c>
      <c r="AC454" s="120">
        <v>30.2</v>
      </c>
      <c r="AD454" s="120" t="s">
        <v>207</v>
      </c>
      <c r="AE454" s="120">
        <v>8.6999999999999993</v>
      </c>
      <c r="AF454" s="120" t="s">
        <v>207</v>
      </c>
      <c r="AG454" s="120">
        <v>0</v>
      </c>
      <c r="AH454" s="120" t="s">
        <v>207</v>
      </c>
      <c r="AI454" s="120">
        <v>0</v>
      </c>
      <c r="AJ454" s="118" t="s">
        <v>207</v>
      </c>
      <c r="AK454" s="120">
        <v>0</v>
      </c>
      <c r="AL454" s="118" t="s">
        <v>207</v>
      </c>
      <c r="AM454" s="120">
        <v>0</v>
      </c>
      <c r="AN454" s="118" t="s">
        <v>207</v>
      </c>
      <c r="AO454" s="120">
        <v>48.8</v>
      </c>
      <c r="AP454" s="120" t="s">
        <v>207</v>
      </c>
      <c r="AQ454" s="120">
        <v>40</v>
      </c>
      <c r="AR454" s="120" t="s">
        <v>207</v>
      </c>
      <c r="AS454" s="120">
        <v>51.2</v>
      </c>
      <c r="AT454" s="120" t="s">
        <v>207</v>
      </c>
      <c r="AU454" s="118">
        <f t="shared" si="28"/>
        <v>369.14</v>
      </c>
      <c r="AV454" s="88"/>
      <c r="AW454" s="88"/>
      <c r="AX454" s="88"/>
      <c r="AY454" s="88"/>
      <c r="AZ454" s="88"/>
    </row>
    <row r="455" spans="1:52" s="90" customFormat="1" ht="15" customHeight="1" x14ac:dyDescent="0.3">
      <c r="A455" s="114">
        <v>444</v>
      </c>
      <c r="B455" s="174" t="s">
        <v>1136</v>
      </c>
      <c r="C455" s="120" t="s">
        <v>804</v>
      </c>
      <c r="D455" s="88"/>
      <c r="E455" s="88"/>
      <c r="F455" s="120" t="s">
        <v>958</v>
      </c>
      <c r="G455" s="25" t="s">
        <v>145</v>
      </c>
      <c r="H455" s="85" t="s">
        <v>146</v>
      </c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116">
        <v>228.5</v>
      </c>
      <c r="V455" s="120">
        <v>293.58</v>
      </c>
      <c r="W455" s="120">
        <v>36.01</v>
      </c>
      <c r="X455" s="120" t="s">
        <v>207</v>
      </c>
      <c r="Y455" s="120">
        <v>25.82</v>
      </c>
      <c r="Z455" s="120" t="s">
        <v>207</v>
      </c>
      <c r="AA455" s="120">
        <v>38.9</v>
      </c>
      <c r="AB455" s="120" t="s">
        <v>207</v>
      </c>
      <c r="AC455" s="120">
        <v>20.8</v>
      </c>
      <c r="AD455" s="120" t="s">
        <v>207</v>
      </c>
      <c r="AE455" s="120">
        <v>7.9</v>
      </c>
      <c r="AF455" s="120" t="s">
        <v>207</v>
      </c>
      <c r="AG455" s="120">
        <v>0</v>
      </c>
      <c r="AH455" s="120" t="s">
        <v>207</v>
      </c>
      <c r="AI455" s="120">
        <v>0</v>
      </c>
      <c r="AJ455" s="118" t="s">
        <v>207</v>
      </c>
      <c r="AK455" s="120">
        <v>0</v>
      </c>
      <c r="AL455" s="118" t="s">
        <v>207</v>
      </c>
      <c r="AM455" s="120">
        <v>0</v>
      </c>
      <c r="AN455" s="118" t="s">
        <v>207</v>
      </c>
      <c r="AO455" s="120">
        <v>21.3</v>
      </c>
      <c r="AP455" s="120" t="s">
        <v>207</v>
      </c>
      <c r="AQ455" s="120">
        <v>21.8</v>
      </c>
      <c r="AR455" s="120" t="s">
        <v>207</v>
      </c>
      <c r="AS455" s="120">
        <v>28.9</v>
      </c>
      <c r="AT455" s="120" t="s">
        <v>207</v>
      </c>
      <c r="AU455" s="118">
        <f t="shared" si="28"/>
        <v>201.43</v>
      </c>
      <c r="AV455" s="88"/>
      <c r="AW455" s="88"/>
      <c r="AX455" s="88"/>
      <c r="AY455" s="88"/>
      <c r="AZ455" s="88"/>
    </row>
    <row r="456" spans="1:52" s="90" customFormat="1" ht="15" customHeight="1" x14ac:dyDescent="0.3">
      <c r="A456" s="114">
        <v>445</v>
      </c>
      <c r="B456" s="174" t="s">
        <v>1137</v>
      </c>
      <c r="C456" s="120" t="s">
        <v>804</v>
      </c>
      <c r="D456" s="88"/>
      <c r="E456" s="88"/>
      <c r="F456" s="120" t="s">
        <v>958</v>
      </c>
      <c r="G456" s="25" t="s">
        <v>145</v>
      </c>
      <c r="H456" s="85" t="s">
        <v>146</v>
      </c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116">
        <v>129.34</v>
      </c>
      <c r="V456" s="120">
        <v>154.6</v>
      </c>
      <c r="W456" s="120">
        <v>15.87</v>
      </c>
      <c r="X456" s="120" t="s">
        <v>207</v>
      </c>
      <c r="Y456" s="120">
        <v>15.49</v>
      </c>
      <c r="Z456" s="120" t="s">
        <v>207</v>
      </c>
      <c r="AA456" s="120">
        <v>36.950000000000003</v>
      </c>
      <c r="AB456" s="120" t="s">
        <v>207</v>
      </c>
      <c r="AC456" s="120">
        <v>21.94</v>
      </c>
      <c r="AD456" s="120" t="s">
        <v>207</v>
      </c>
      <c r="AE456" s="120">
        <v>7.98</v>
      </c>
      <c r="AF456" s="120" t="s">
        <v>207</v>
      </c>
      <c r="AG456" s="120">
        <v>3.19</v>
      </c>
      <c r="AH456" s="120" t="s">
        <v>207</v>
      </c>
      <c r="AI456" s="120">
        <v>2.15</v>
      </c>
      <c r="AJ456" s="118" t="s">
        <v>207</v>
      </c>
      <c r="AK456" s="120">
        <v>2.27</v>
      </c>
      <c r="AL456" s="118" t="s">
        <v>207</v>
      </c>
      <c r="AM456" s="120">
        <v>3.4</v>
      </c>
      <c r="AN456" s="118" t="s">
        <v>207</v>
      </c>
      <c r="AO456" s="120">
        <v>14.29</v>
      </c>
      <c r="AP456" s="120" t="s">
        <v>207</v>
      </c>
      <c r="AQ456" s="120">
        <v>17.38</v>
      </c>
      <c r="AR456" s="120" t="s">
        <v>207</v>
      </c>
      <c r="AS456" s="120">
        <v>25.25</v>
      </c>
      <c r="AT456" s="120" t="s">
        <v>207</v>
      </c>
      <c r="AU456" s="118">
        <f t="shared" si="28"/>
        <v>166.16</v>
      </c>
      <c r="AV456" s="88"/>
      <c r="AW456" s="88"/>
      <c r="AX456" s="88"/>
      <c r="AY456" s="88"/>
      <c r="AZ456" s="88"/>
    </row>
    <row r="457" spans="1:52" s="90" customFormat="1" ht="15" customHeight="1" x14ac:dyDescent="0.3">
      <c r="A457" s="114">
        <v>446</v>
      </c>
      <c r="B457" s="174" t="s">
        <v>1138</v>
      </c>
      <c r="C457" s="120" t="s">
        <v>804</v>
      </c>
      <c r="D457" s="88"/>
      <c r="E457" s="88"/>
      <c r="F457" s="120" t="s">
        <v>958</v>
      </c>
      <c r="G457" s="25" t="s">
        <v>145</v>
      </c>
      <c r="H457" s="85" t="s">
        <v>146</v>
      </c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116">
        <v>249.97</v>
      </c>
      <c r="V457" s="120">
        <v>305.98</v>
      </c>
      <c r="W457" s="120">
        <v>29.66</v>
      </c>
      <c r="X457" s="120" t="s">
        <v>207</v>
      </c>
      <c r="Y457" s="120">
        <v>29.35</v>
      </c>
      <c r="Z457" s="120" t="s">
        <v>207</v>
      </c>
      <c r="AA457" s="120">
        <v>40.35</v>
      </c>
      <c r="AB457" s="120" t="s">
        <v>207</v>
      </c>
      <c r="AC457" s="120">
        <v>27.32</v>
      </c>
      <c r="AD457" s="120" t="s">
        <v>207</v>
      </c>
      <c r="AE457" s="120">
        <v>10.39</v>
      </c>
      <c r="AF457" s="120" t="s">
        <v>207</v>
      </c>
      <c r="AG457" s="120">
        <v>4.0999999999999996</v>
      </c>
      <c r="AH457" s="120" t="s">
        <v>207</v>
      </c>
      <c r="AI457" s="120">
        <v>3.24</v>
      </c>
      <c r="AJ457" s="118" t="s">
        <v>207</v>
      </c>
      <c r="AK457" s="120">
        <v>4.09</v>
      </c>
      <c r="AL457" s="118" t="s">
        <v>207</v>
      </c>
      <c r="AM457" s="120">
        <v>4.3</v>
      </c>
      <c r="AN457" s="118" t="s">
        <v>207</v>
      </c>
      <c r="AO457" s="120">
        <v>21.4</v>
      </c>
      <c r="AP457" s="120" t="s">
        <v>207</v>
      </c>
      <c r="AQ457" s="120">
        <v>22.13</v>
      </c>
      <c r="AR457" s="120" t="s">
        <v>207</v>
      </c>
      <c r="AS457" s="120">
        <v>30.95</v>
      </c>
      <c r="AT457" s="120" t="s">
        <v>207</v>
      </c>
      <c r="AU457" s="118">
        <f t="shared" si="28"/>
        <v>227.28</v>
      </c>
      <c r="AV457" s="88"/>
      <c r="AW457" s="88"/>
      <c r="AX457" s="88"/>
      <c r="AY457" s="88"/>
      <c r="AZ457" s="88"/>
    </row>
    <row r="458" spans="1:52" s="90" customFormat="1" ht="15" customHeight="1" x14ac:dyDescent="0.3">
      <c r="A458" s="114">
        <v>447</v>
      </c>
      <c r="B458" s="174" t="s">
        <v>1139</v>
      </c>
      <c r="C458" s="120" t="s">
        <v>804</v>
      </c>
      <c r="D458" s="88"/>
      <c r="E458" s="88"/>
      <c r="F458" s="120" t="s">
        <v>958</v>
      </c>
      <c r="G458" s="25" t="s">
        <v>145</v>
      </c>
      <c r="H458" s="85" t="s">
        <v>146</v>
      </c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116">
        <v>591.04999999999995</v>
      </c>
      <c r="V458" s="120">
        <v>765.16</v>
      </c>
      <c r="W458" s="120">
        <v>54.8</v>
      </c>
      <c r="X458" s="120" t="s">
        <v>207</v>
      </c>
      <c r="Y458" s="120">
        <v>53.14</v>
      </c>
      <c r="Z458" s="120" t="s">
        <v>207</v>
      </c>
      <c r="AA458" s="120">
        <v>92.48</v>
      </c>
      <c r="AB458" s="120" t="s">
        <v>207</v>
      </c>
      <c r="AC458" s="120">
        <v>50.93</v>
      </c>
      <c r="AD458" s="120" t="s">
        <v>207</v>
      </c>
      <c r="AE458" s="120">
        <v>19.690000000000001</v>
      </c>
      <c r="AF458" s="120" t="s">
        <v>207</v>
      </c>
      <c r="AG458" s="120">
        <v>7.59</v>
      </c>
      <c r="AH458" s="120" t="s">
        <v>207</v>
      </c>
      <c r="AI458" s="120">
        <v>6.14</v>
      </c>
      <c r="AJ458" s="118" t="s">
        <v>207</v>
      </c>
      <c r="AK458" s="120">
        <v>6.38</v>
      </c>
      <c r="AL458" s="118" t="s">
        <v>207</v>
      </c>
      <c r="AM458" s="120">
        <v>9.2899999999999991</v>
      </c>
      <c r="AN458" s="118" t="s">
        <v>207</v>
      </c>
      <c r="AO458" s="120">
        <v>56.08</v>
      </c>
      <c r="AP458" s="120" t="s">
        <v>207</v>
      </c>
      <c r="AQ458" s="120">
        <v>47.95</v>
      </c>
      <c r="AR458" s="120" t="s">
        <v>207</v>
      </c>
      <c r="AS458" s="120">
        <v>60.67</v>
      </c>
      <c r="AT458" s="120" t="s">
        <v>207</v>
      </c>
      <c r="AU458" s="118">
        <f t="shared" si="28"/>
        <v>465.14</v>
      </c>
      <c r="AV458" s="88"/>
      <c r="AW458" s="88"/>
      <c r="AX458" s="88"/>
      <c r="AY458" s="88"/>
      <c r="AZ458" s="88"/>
    </row>
    <row r="459" spans="1:52" s="90" customFormat="1" ht="15" customHeight="1" x14ac:dyDescent="0.3">
      <c r="A459" s="114">
        <v>448</v>
      </c>
      <c r="B459" s="174" t="s">
        <v>1140</v>
      </c>
      <c r="C459" s="120" t="s">
        <v>804</v>
      </c>
      <c r="D459" s="88"/>
      <c r="E459" s="88"/>
      <c r="F459" s="120" t="s">
        <v>958</v>
      </c>
      <c r="G459" s="25" t="s">
        <v>145</v>
      </c>
      <c r="H459" s="85" t="s">
        <v>146</v>
      </c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116">
        <v>365.4</v>
      </c>
      <c r="V459" s="120">
        <v>421.69</v>
      </c>
      <c r="W459" s="120">
        <v>42.26</v>
      </c>
      <c r="X459" s="120" t="s">
        <v>207</v>
      </c>
      <c r="Y459" s="120">
        <v>42.1</v>
      </c>
      <c r="Z459" s="120" t="s">
        <v>207</v>
      </c>
      <c r="AA459" s="120">
        <v>42.43</v>
      </c>
      <c r="AB459" s="120" t="s">
        <v>207</v>
      </c>
      <c r="AC459" s="120">
        <v>44.48</v>
      </c>
      <c r="AD459" s="120" t="s">
        <v>207</v>
      </c>
      <c r="AE459" s="120">
        <v>15.68</v>
      </c>
      <c r="AF459" s="120" t="s">
        <v>207</v>
      </c>
      <c r="AG459" s="120">
        <v>5.66</v>
      </c>
      <c r="AH459" s="120" t="s">
        <v>207</v>
      </c>
      <c r="AI459" s="120">
        <v>6.32</v>
      </c>
      <c r="AJ459" s="118" t="s">
        <v>207</v>
      </c>
      <c r="AK459" s="120">
        <v>5.05</v>
      </c>
      <c r="AL459" s="118" t="s">
        <v>207</v>
      </c>
      <c r="AM459" s="120">
        <v>6.93</v>
      </c>
      <c r="AN459" s="118" t="s">
        <v>207</v>
      </c>
      <c r="AO459" s="120">
        <v>44.65</v>
      </c>
      <c r="AP459" s="120" t="s">
        <v>207</v>
      </c>
      <c r="AQ459" s="120">
        <v>36.94</v>
      </c>
      <c r="AR459" s="120" t="s">
        <v>207</v>
      </c>
      <c r="AS459" s="120">
        <v>47.13</v>
      </c>
      <c r="AT459" s="120" t="s">
        <v>207</v>
      </c>
      <c r="AU459" s="118">
        <f t="shared" si="28"/>
        <v>339.63</v>
      </c>
      <c r="AV459" s="88"/>
      <c r="AW459" s="88"/>
      <c r="AX459" s="88"/>
      <c r="AY459" s="88"/>
      <c r="AZ459" s="88"/>
    </row>
    <row r="460" spans="1:52" s="90" customFormat="1" ht="15" customHeight="1" x14ac:dyDescent="0.3">
      <c r="A460" s="114">
        <v>449</v>
      </c>
      <c r="B460" s="174" t="s">
        <v>1141</v>
      </c>
      <c r="C460" s="120" t="s">
        <v>804</v>
      </c>
      <c r="D460" s="88"/>
      <c r="E460" s="88"/>
      <c r="F460" s="120" t="s">
        <v>958</v>
      </c>
      <c r="G460" s="25" t="s">
        <v>145</v>
      </c>
      <c r="H460" s="85" t="s">
        <v>146</v>
      </c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116">
        <v>498.43</v>
      </c>
      <c r="V460" s="120">
        <v>638.03</v>
      </c>
      <c r="W460" s="120">
        <v>53.09</v>
      </c>
      <c r="X460" s="120" t="s">
        <v>207</v>
      </c>
      <c r="Y460" s="120">
        <v>52.69</v>
      </c>
      <c r="Z460" s="120" t="s">
        <v>207</v>
      </c>
      <c r="AA460" s="120">
        <v>86.83</v>
      </c>
      <c r="AB460" s="120" t="s">
        <v>207</v>
      </c>
      <c r="AC460" s="120">
        <v>54.59</v>
      </c>
      <c r="AD460" s="120" t="s">
        <v>207</v>
      </c>
      <c r="AE460" s="120">
        <v>18.25</v>
      </c>
      <c r="AF460" s="120" t="s">
        <v>207</v>
      </c>
      <c r="AG460" s="120">
        <v>5.43</v>
      </c>
      <c r="AH460" s="120" t="s">
        <v>207</v>
      </c>
      <c r="AI460" s="120">
        <v>5.75</v>
      </c>
      <c r="AJ460" s="118" t="s">
        <v>207</v>
      </c>
      <c r="AK460" s="120">
        <v>6.57</v>
      </c>
      <c r="AL460" s="118" t="s">
        <v>207</v>
      </c>
      <c r="AM460" s="120">
        <v>7.78</v>
      </c>
      <c r="AN460" s="118" t="s">
        <v>207</v>
      </c>
      <c r="AO460" s="120">
        <v>54.67</v>
      </c>
      <c r="AP460" s="120" t="s">
        <v>207</v>
      </c>
      <c r="AQ460" s="120">
        <v>49.96</v>
      </c>
      <c r="AR460" s="120" t="s">
        <v>207</v>
      </c>
      <c r="AS460" s="120">
        <v>68.91</v>
      </c>
      <c r="AT460" s="120" t="s">
        <v>207</v>
      </c>
      <c r="AU460" s="118">
        <f t="shared" si="28"/>
        <v>464.52</v>
      </c>
      <c r="AV460" s="88"/>
      <c r="AW460" s="88"/>
      <c r="AX460" s="88"/>
      <c r="AY460" s="88"/>
      <c r="AZ460" s="88"/>
    </row>
    <row r="461" spans="1:52" s="90" customFormat="1" ht="15" customHeight="1" x14ac:dyDescent="0.3">
      <c r="A461" s="114">
        <v>450</v>
      </c>
      <c r="B461" s="174" t="s">
        <v>1142</v>
      </c>
      <c r="C461" s="120" t="s">
        <v>804</v>
      </c>
      <c r="D461" s="88"/>
      <c r="E461" s="88"/>
      <c r="F461" s="120" t="s">
        <v>958</v>
      </c>
      <c r="G461" s="25" t="s">
        <v>145</v>
      </c>
      <c r="H461" s="85" t="s">
        <v>146</v>
      </c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116">
        <v>99.71</v>
      </c>
      <c r="V461" s="120">
        <v>132.43</v>
      </c>
      <c r="W461" s="120">
        <v>13.18</v>
      </c>
      <c r="X461" s="120" t="s">
        <v>207</v>
      </c>
      <c r="Y461" s="120">
        <v>13.4</v>
      </c>
      <c r="Z461" s="120" t="s">
        <v>207</v>
      </c>
      <c r="AA461" s="120">
        <v>19.47</v>
      </c>
      <c r="AB461" s="120" t="s">
        <v>207</v>
      </c>
      <c r="AC461" s="120">
        <v>12.96</v>
      </c>
      <c r="AD461" s="120" t="s">
        <v>207</v>
      </c>
      <c r="AE461" s="120">
        <v>6.03</v>
      </c>
      <c r="AF461" s="120" t="s">
        <v>207</v>
      </c>
      <c r="AG461" s="120">
        <v>2.19</v>
      </c>
      <c r="AH461" s="120" t="s">
        <v>207</v>
      </c>
      <c r="AI461" s="120">
        <v>1.91</v>
      </c>
      <c r="AJ461" s="118" t="s">
        <v>207</v>
      </c>
      <c r="AK461" s="120">
        <v>2.46</v>
      </c>
      <c r="AL461" s="118" t="s">
        <v>207</v>
      </c>
      <c r="AM461" s="120">
        <v>2.67</v>
      </c>
      <c r="AN461" s="118" t="s">
        <v>207</v>
      </c>
      <c r="AO461" s="120">
        <v>21.3</v>
      </c>
      <c r="AP461" s="120" t="s">
        <v>207</v>
      </c>
      <c r="AQ461" s="120">
        <v>10.53</v>
      </c>
      <c r="AR461" s="120" t="s">
        <v>207</v>
      </c>
      <c r="AS461" s="120">
        <v>24.72</v>
      </c>
      <c r="AT461" s="120" t="s">
        <v>207</v>
      </c>
      <c r="AU461" s="118">
        <f t="shared" si="28"/>
        <v>130.82</v>
      </c>
      <c r="AV461" s="88"/>
      <c r="AW461" s="88"/>
      <c r="AX461" s="88"/>
      <c r="AY461" s="88"/>
      <c r="AZ461" s="88"/>
    </row>
    <row r="462" spans="1:52" s="90" customFormat="1" ht="15" customHeight="1" x14ac:dyDescent="0.3">
      <c r="A462" s="114">
        <v>451</v>
      </c>
      <c r="B462" s="174" t="s">
        <v>1143</v>
      </c>
      <c r="C462" s="120" t="s">
        <v>804</v>
      </c>
      <c r="D462" s="88"/>
      <c r="E462" s="88"/>
      <c r="F462" s="120" t="s">
        <v>958</v>
      </c>
      <c r="G462" s="25" t="s">
        <v>145</v>
      </c>
      <c r="H462" s="85" t="s">
        <v>146</v>
      </c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116">
        <v>308.18</v>
      </c>
      <c r="V462" s="120">
        <v>384.41</v>
      </c>
      <c r="W462" s="120"/>
      <c r="X462" s="120" t="s">
        <v>207</v>
      </c>
      <c r="Y462" s="120"/>
      <c r="Z462" s="120" t="s">
        <v>207</v>
      </c>
      <c r="AA462" s="120"/>
      <c r="AB462" s="120" t="s">
        <v>207</v>
      </c>
      <c r="AC462" s="120"/>
      <c r="AD462" s="120" t="s">
        <v>207</v>
      </c>
      <c r="AE462" s="120"/>
      <c r="AF462" s="120" t="s">
        <v>207</v>
      </c>
      <c r="AG462" s="120"/>
      <c r="AH462" s="120" t="s">
        <v>207</v>
      </c>
      <c r="AI462" s="120"/>
      <c r="AJ462" s="118" t="s">
        <v>207</v>
      </c>
      <c r="AK462" s="120"/>
      <c r="AL462" s="118" t="s">
        <v>207</v>
      </c>
      <c r="AM462" s="120"/>
      <c r="AN462" s="118" t="s">
        <v>207</v>
      </c>
      <c r="AO462" s="120"/>
      <c r="AP462" s="120" t="s">
        <v>207</v>
      </c>
      <c r="AQ462" s="120"/>
      <c r="AR462" s="120" t="s">
        <v>207</v>
      </c>
      <c r="AS462" s="120"/>
      <c r="AT462" s="120" t="s">
        <v>207</v>
      </c>
      <c r="AU462" s="118">
        <f t="shared" si="28"/>
        <v>0</v>
      </c>
      <c r="AV462" s="88"/>
      <c r="AW462" s="88"/>
      <c r="AX462" s="88"/>
      <c r="AY462" s="88"/>
      <c r="AZ462" s="88"/>
    </row>
    <row r="463" spans="1:52" s="90" customFormat="1" ht="15" customHeight="1" x14ac:dyDescent="0.3">
      <c r="A463" s="114">
        <v>452</v>
      </c>
      <c r="B463" s="174" t="s">
        <v>1144</v>
      </c>
      <c r="C463" s="120" t="s">
        <v>804</v>
      </c>
      <c r="D463" s="88"/>
      <c r="E463" s="88"/>
      <c r="F463" s="120" t="s">
        <v>958</v>
      </c>
      <c r="G463" s="25" t="s">
        <v>145</v>
      </c>
      <c r="H463" s="85" t="s">
        <v>146</v>
      </c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116">
        <v>7588.33</v>
      </c>
      <c r="V463" s="120">
        <v>9276.2099999999991</v>
      </c>
      <c r="W463" s="120">
        <v>1116.1600000000001</v>
      </c>
      <c r="X463" s="120" t="s">
        <v>207</v>
      </c>
      <c r="Y463" s="120">
        <v>862.19</v>
      </c>
      <c r="Z463" s="120" t="s">
        <v>207</v>
      </c>
      <c r="AA463" s="120">
        <v>763.54</v>
      </c>
      <c r="AB463" s="120" t="s">
        <v>207</v>
      </c>
      <c r="AC463" s="120">
        <v>766.92</v>
      </c>
      <c r="AD463" s="120" t="s">
        <v>207</v>
      </c>
      <c r="AE463" s="120">
        <v>306.54000000000002</v>
      </c>
      <c r="AF463" s="120" t="s">
        <v>207</v>
      </c>
      <c r="AG463" s="120">
        <v>97.98</v>
      </c>
      <c r="AH463" s="120" t="s">
        <v>207</v>
      </c>
      <c r="AI463" s="120">
        <v>243.71</v>
      </c>
      <c r="AJ463" s="118" t="s">
        <v>207</v>
      </c>
      <c r="AK463" s="120">
        <v>40.06</v>
      </c>
      <c r="AL463" s="118" t="s">
        <v>207</v>
      </c>
      <c r="AM463" s="120">
        <v>148.38999999999999</v>
      </c>
      <c r="AN463" s="118" t="s">
        <v>207</v>
      </c>
      <c r="AO463" s="120">
        <v>790.88</v>
      </c>
      <c r="AP463" s="120" t="s">
        <v>207</v>
      </c>
      <c r="AQ463" s="120">
        <v>721.58</v>
      </c>
      <c r="AR463" s="120" t="s">
        <v>207</v>
      </c>
      <c r="AS463" s="120">
        <v>992.02</v>
      </c>
      <c r="AT463" s="120" t="s">
        <v>207</v>
      </c>
      <c r="AU463" s="118">
        <f t="shared" si="28"/>
        <v>6849.9700000000012</v>
      </c>
      <c r="AV463" s="88"/>
      <c r="AW463" s="88"/>
      <c r="AX463" s="88"/>
      <c r="AY463" s="88"/>
      <c r="AZ463" s="88"/>
    </row>
    <row r="464" spans="1:52" s="90" customFormat="1" ht="15" customHeight="1" x14ac:dyDescent="0.3">
      <c r="A464" s="114">
        <v>453</v>
      </c>
      <c r="B464" s="174" t="s">
        <v>1145</v>
      </c>
      <c r="C464" s="120" t="s">
        <v>804</v>
      </c>
      <c r="D464" s="88"/>
      <c r="E464" s="88"/>
      <c r="F464" s="120" t="s">
        <v>958</v>
      </c>
      <c r="G464" s="25" t="s">
        <v>145</v>
      </c>
      <c r="H464" s="85" t="s">
        <v>146</v>
      </c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116">
        <v>6617.16</v>
      </c>
      <c r="V464" s="120">
        <v>7952.76</v>
      </c>
      <c r="W464" s="120">
        <v>952.45</v>
      </c>
      <c r="X464" s="120" t="s">
        <v>207</v>
      </c>
      <c r="Y464" s="120">
        <v>714.84</v>
      </c>
      <c r="Z464" s="120" t="s">
        <v>207</v>
      </c>
      <c r="AA464" s="120">
        <v>1005.25</v>
      </c>
      <c r="AB464" s="120" t="s">
        <v>207</v>
      </c>
      <c r="AC464" s="120">
        <v>609.29</v>
      </c>
      <c r="AD464" s="120" t="s">
        <v>207</v>
      </c>
      <c r="AE464" s="120">
        <v>286.41000000000003</v>
      </c>
      <c r="AF464" s="120" t="s">
        <v>207</v>
      </c>
      <c r="AG464" s="120">
        <v>136.13999999999999</v>
      </c>
      <c r="AH464" s="120" t="s">
        <v>207</v>
      </c>
      <c r="AI464" s="120">
        <v>119.21</v>
      </c>
      <c r="AJ464" s="118" t="s">
        <v>207</v>
      </c>
      <c r="AK464" s="120">
        <v>136.34</v>
      </c>
      <c r="AL464" s="118" t="s">
        <v>207</v>
      </c>
      <c r="AM464" s="120">
        <v>163.83000000000001</v>
      </c>
      <c r="AN464" s="118" t="s">
        <v>207</v>
      </c>
      <c r="AO464" s="120">
        <v>603.88</v>
      </c>
      <c r="AP464" s="120" t="s">
        <v>207</v>
      </c>
      <c r="AQ464" s="120">
        <v>571.34</v>
      </c>
      <c r="AR464" s="120" t="s">
        <v>207</v>
      </c>
      <c r="AS464" s="120">
        <v>766.66</v>
      </c>
      <c r="AT464" s="120" t="s">
        <v>207</v>
      </c>
      <c r="AU464" s="118">
        <f t="shared" si="28"/>
        <v>6065.64</v>
      </c>
      <c r="AV464" s="88"/>
      <c r="AW464" s="88"/>
      <c r="AX464" s="88"/>
      <c r="AY464" s="88"/>
      <c r="AZ464" s="88"/>
    </row>
    <row r="465" spans="1:52" s="90" customFormat="1" ht="15" customHeight="1" x14ac:dyDescent="0.3">
      <c r="A465" s="114">
        <v>454</v>
      </c>
      <c r="B465" s="174" t="s">
        <v>1146</v>
      </c>
      <c r="C465" s="120" t="s">
        <v>804</v>
      </c>
      <c r="D465" s="88"/>
      <c r="E465" s="88"/>
      <c r="F465" s="120" t="s">
        <v>958</v>
      </c>
      <c r="G465" s="25" t="s">
        <v>145</v>
      </c>
      <c r="H465" s="85" t="s">
        <v>146</v>
      </c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116">
        <v>2006.84</v>
      </c>
      <c r="V465" s="120">
        <v>2156.3200000000002</v>
      </c>
      <c r="W465" s="120">
        <v>335.24</v>
      </c>
      <c r="X465" s="120" t="s">
        <v>207</v>
      </c>
      <c r="Y465" s="120">
        <v>279.37</v>
      </c>
      <c r="Z465" s="120" t="s">
        <v>207</v>
      </c>
      <c r="AA465" s="120">
        <v>239.12</v>
      </c>
      <c r="AB465" s="120" t="s">
        <v>207</v>
      </c>
      <c r="AC465" s="120">
        <v>62.83</v>
      </c>
      <c r="AD465" s="120" t="s">
        <v>207</v>
      </c>
      <c r="AE465" s="120">
        <v>45.46</v>
      </c>
      <c r="AF465" s="120" t="s">
        <v>207</v>
      </c>
      <c r="AG465" s="120">
        <v>43.76</v>
      </c>
      <c r="AH465" s="120" t="s">
        <v>207</v>
      </c>
      <c r="AI465" s="120">
        <v>42.36</v>
      </c>
      <c r="AJ465" s="118" t="s">
        <v>207</v>
      </c>
      <c r="AK465" s="120">
        <v>118.61</v>
      </c>
      <c r="AL465" s="118" t="s">
        <v>207</v>
      </c>
      <c r="AM465" s="120">
        <v>343.96</v>
      </c>
      <c r="AN465" s="118" t="s">
        <v>207</v>
      </c>
      <c r="AO465" s="120">
        <v>309.57</v>
      </c>
      <c r="AP465" s="120" t="s">
        <v>207</v>
      </c>
      <c r="AQ465" s="120">
        <v>278.61</v>
      </c>
      <c r="AR465" s="120" t="s">
        <v>207</v>
      </c>
      <c r="AS465" s="120">
        <v>390.05</v>
      </c>
      <c r="AT465" s="120" t="s">
        <v>207</v>
      </c>
      <c r="AU465" s="118">
        <f t="shared" si="28"/>
        <v>2488.94</v>
      </c>
      <c r="AV465" s="88"/>
      <c r="AW465" s="88"/>
      <c r="AX465" s="88"/>
      <c r="AY465" s="88"/>
      <c r="AZ465" s="88"/>
    </row>
    <row r="466" spans="1:52" s="90" customFormat="1" ht="15" customHeight="1" x14ac:dyDescent="0.3">
      <c r="A466" s="114">
        <v>455</v>
      </c>
      <c r="B466" s="174" t="s">
        <v>1147</v>
      </c>
      <c r="C466" s="120" t="s">
        <v>804</v>
      </c>
      <c r="D466" s="88"/>
      <c r="E466" s="88"/>
      <c r="F466" s="120" t="s">
        <v>958</v>
      </c>
      <c r="G466" s="25" t="s">
        <v>145</v>
      </c>
      <c r="H466" s="85" t="s">
        <v>146</v>
      </c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116">
        <v>846.91</v>
      </c>
      <c r="V466" s="120">
        <v>854.15</v>
      </c>
      <c r="W466" s="120">
        <v>151.72</v>
      </c>
      <c r="X466" s="120" t="s">
        <v>207</v>
      </c>
      <c r="Y466" s="120">
        <v>126.43</v>
      </c>
      <c r="Z466" s="120" t="s">
        <v>207</v>
      </c>
      <c r="AA466" s="120">
        <v>86.18</v>
      </c>
      <c r="AB466" s="120" t="s">
        <v>207</v>
      </c>
      <c r="AC466" s="120">
        <v>23.49</v>
      </c>
      <c r="AD466" s="120" t="s">
        <v>207</v>
      </c>
      <c r="AE466" s="120">
        <v>16.850000000000001</v>
      </c>
      <c r="AF466" s="120" t="s">
        <v>207</v>
      </c>
      <c r="AG466" s="120">
        <v>15.15</v>
      </c>
      <c r="AH466" s="120" t="s">
        <v>207</v>
      </c>
      <c r="AI466" s="120">
        <v>13.75</v>
      </c>
      <c r="AJ466" s="118" t="s">
        <v>207</v>
      </c>
      <c r="AK466" s="120">
        <v>38.5</v>
      </c>
      <c r="AL466" s="118" t="s">
        <v>207</v>
      </c>
      <c r="AM466" s="120">
        <v>111.65</v>
      </c>
      <c r="AN466" s="118" t="s">
        <v>207</v>
      </c>
      <c r="AO466" s="120">
        <v>100.49</v>
      </c>
      <c r="AP466" s="120" t="s">
        <v>207</v>
      </c>
      <c r="AQ466" s="120">
        <v>90.44</v>
      </c>
      <c r="AR466" s="120" t="s">
        <v>207</v>
      </c>
      <c r="AS466" s="120">
        <v>126.61</v>
      </c>
      <c r="AT466" s="120" t="s">
        <v>207</v>
      </c>
      <c r="AU466" s="118">
        <f t="shared" si="28"/>
        <v>901.2600000000001</v>
      </c>
      <c r="AV466" s="88"/>
      <c r="AW466" s="88"/>
      <c r="AX466" s="88"/>
      <c r="AY466" s="88"/>
      <c r="AZ466" s="88"/>
    </row>
    <row r="467" spans="1:52" s="90" customFormat="1" ht="15" customHeight="1" x14ac:dyDescent="0.3">
      <c r="A467" s="114">
        <v>456</v>
      </c>
      <c r="B467" s="174" t="s">
        <v>1148</v>
      </c>
      <c r="C467" s="120" t="s">
        <v>804</v>
      </c>
      <c r="D467" s="88"/>
      <c r="E467" s="88"/>
      <c r="F467" s="120" t="s">
        <v>958</v>
      </c>
      <c r="G467" s="25" t="s">
        <v>145</v>
      </c>
      <c r="H467" s="85" t="s">
        <v>146</v>
      </c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116">
        <v>1988.54</v>
      </c>
      <c r="V467" s="120">
        <v>1962.42</v>
      </c>
      <c r="W467" s="120">
        <v>237.1</v>
      </c>
      <c r="X467" s="120" t="s">
        <v>207</v>
      </c>
      <c r="Y467" s="120">
        <v>169.59</v>
      </c>
      <c r="Z467" s="120" t="s">
        <v>207</v>
      </c>
      <c r="AA467" s="120">
        <v>233.25</v>
      </c>
      <c r="AB467" s="120" t="s">
        <v>207</v>
      </c>
      <c r="AC467" s="120">
        <v>130.72</v>
      </c>
      <c r="AD467" s="120" t="s">
        <v>207</v>
      </c>
      <c r="AE467" s="120">
        <v>47.5</v>
      </c>
      <c r="AF467" s="120" t="s">
        <v>207</v>
      </c>
      <c r="AG467" s="120">
        <v>24.13</v>
      </c>
      <c r="AH467" s="120" t="s">
        <v>207</v>
      </c>
      <c r="AI467" s="120">
        <v>21.56</v>
      </c>
      <c r="AJ467" s="118" t="s">
        <v>207</v>
      </c>
      <c r="AK467" s="120">
        <v>22.81</v>
      </c>
      <c r="AL467" s="118" t="s">
        <v>207</v>
      </c>
      <c r="AM467" s="120">
        <v>32.65</v>
      </c>
      <c r="AN467" s="118" t="s">
        <v>207</v>
      </c>
      <c r="AO467" s="120">
        <v>129.96</v>
      </c>
      <c r="AP467" s="120" t="s">
        <v>207</v>
      </c>
      <c r="AQ467" s="120">
        <v>124.07</v>
      </c>
      <c r="AR467" s="120" t="s">
        <v>207</v>
      </c>
      <c r="AS467" s="120">
        <v>156.19</v>
      </c>
      <c r="AT467" s="120" t="s">
        <v>207</v>
      </c>
      <c r="AU467" s="118">
        <f t="shared" si="28"/>
        <v>1329.53</v>
      </c>
      <c r="AV467" s="88"/>
      <c r="AW467" s="88"/>
      <c r="AX467" s="88"/>
      <c r="AY467" s="88"/>
      <c r="AZ467" s="88"/>
    </row>
    <row r="468" spans="1:52" s="90" customFormat="1" ht="15" customHeight="1" x14ac:dyDescent="0.3">
      <c r="A468" s="114">
        <v>457</v>
      </c>
      <c r="B468" s="174" t="s">
        <v>1149</v>
      </c>
      <c r="C468" s="120" t="s">
        <v>804</v>
      </c>
      <c r="D468" s="88"/>
      <c r="E468" s="88"/>
      <c r="F468" s="120" t="s">
        <v>958</v>
      </c>
      <c r="G468" s="25" t="s">
        <v>145</v>
      </c>
      <c r="H468" s="85" t="s">
        <v>146</v>
      </c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116">
        <v>856.45</v>
      </c>
      <c r="V468" s="120">
        <v>889.46</v>
      </c>
      <c r="W468" s="120">
        <v>154.63</v>
      </c>
      <c r="X468" s="120" t="s">
        <v>207</v>
      </c>
      <c r="Y468" s="120">
        <v>128.86000000000001</v>
      </c>
      <c r="Z468" s="120" t="s">
        <v>207</v>
      </c>
      <c r="AA468" s="120">
        <v>88.61</v>
      </c>
      <c r="AB468" s="120" t="s">
        <v>207</v>
      </c>
      <c r="AC468" s="120">
        <v>28.72</v>
      </c>
      <c r="AD468" s="120" t="s">
        <v>207</v>
      </c>
      <c r="AE468" s="120">
        <v>17.68</v>
      </c>
      <c r="AF468" s="120" t="s">
        <v>207</v>
      </c>
      <c r="AG468" s="120">
        <v>15.98</v>
      </c>
      <c r="AH468" s="120" t="s">
        <v>207</v>
      </c>
      <c r="AI468" s="120">
        <v>14.98</v>
      </c>
      <c r="AJ468" s="118" t="s">
        <v>207</v>
      </c>
      <c r="AK468" s="120">
        <v>40.82</v>
      </c>
      <c r="AL468" s="118" t="s">
        <v>207</v>
      </c>
      <c r="AM468" s="120">
        <v>118.39</v>
      </c>
      <c r="AN468" s="118" t="s">
        <v>207</v>
      </c>
      <c r="AO468" s="120">
        <v>106.55</v>
      </c>
      <c r="AP468" s="120" t="s">
        <v>207</v>
      </c>
      <c r="AQ468" s="120">
        <v>95.9</v>
      </c>
      <c r="AR468" s="120" t="s">
        <v>207</v>
      </c>
      <c r="AS468" s="120">
        <v>134.25</v>
      </c>
      <c r="AT468" s="120" t="s">
        <v>207</v>
      </c>
      <c r="AU468" s="118">
        <f t="shared" si="28"/>
        <v>945.37</v>
      </c>
      <c r="AV468" s="88"/>
      <c r="AW468" s="88"/>
      <c r="AX468" s="88"/>
      <c r="AY468" s="88"/>
      <c r="AZ468" s="88"/>
    </row>
    <row r="469" spans="1:52" s="90" customFormat="1" ht="15" customHeight="1" x14ac:dyDescent="0.3">
      <c r="A469" s="114">
        <v>458</v>
      </c>
      <c r="B469" s="174" t="s">
        <v>1150</v>
      </c>
      <c r="C469" s="120" t="s">
        <v>804</v>
      </c>
      <c r="D469" s="88"/>
      <c r="E469" s="88"/>
      <c r="F469" s="120" t="s">
        <v>958</v>
      </c>
      <c r="G469" s="25" t="s">
        <v>145</v>
      </c>
      <c r="H469" s="85" t="s">
        <v>146</v>
      </c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116">
        <v>3135.74</v>
      </c>
      <c r="V469" s="120">
        <v>3724.97</v>
      </c>
      <c r="W469" s="120">
        <v>504.88</v>
      </c>
      <c r="X469" s="120" t="s">
        <v>207</v>
      </c>
      <c r="Y469" s="120">
        <v>361.32</v>
      </c>
      <c r="Z469" s="120" t="s">
        <v>207</v>
      </c>
      <c r="AA469" s="120">
        <v>486.71</v>
      </c>
      <c r="AB469" s="120" t="s">
        <v>207</v>
      </c>
      <c r="AC469" s="120">
        <v>301.33999999999997</v>
      </c>
      <c r="AD469" s="120" t="s">
        <v>207</v>
      </c>
      <c r="AE469" s="120">
        <v>124.57</v>
      </c>
      <c r="AF469" s="120" t="s">
        <v>207</v>
      </c>
      <c r="AG469" s="120">
        <v>46.84</v>
      </c>
      <c r="AH469" s="120" t="s">
        <v>207</v>
      </c>
      <c r="AI469" s="120">
        <v>41.28</v>
      </c>
      <c r="AJ469" s="118" t="s">
        <v>207</v>
      </c>
      <c r="AK469" s="120">
        <v>39.630000000000003</v>
      </c>
      <c r="AL469" s="118" t="s">
        <v>207</v>
      </c>
      <c r="AM469" s="120">
        <v>59.76</v>
      </c>
      <c r="AN469" s="118" t="s">
        <v>207</v>
      </c>
      <c r="AO469" s="120">
        <v>304.94</v>
      </c>
      <c r="AP469" s="120" t="s">
        <v>207</v>
      </c>
      <c r="AQ469" s="120">
        <v>295.43</v>
      </c>
      <c r="AR469" s="120" t="s">
        <v>207</v>
      </c>
      <c r="AS469" s="120">
        <v>412.22</v>
      </c>
      <c r="AT469" s="120" t="s">
        <v>207</v>
      </c>
      <c r="AU469" s="118">
        <f t="shared" si="28"/>
        <v>2978.92</v>
      </c>
      <c r="AV469" s="88"/>
      <c r="AW469" s="88"/>
      <c r="AX469" s="88"/>
      <c r="AY469" s="88"/>
      <c r="AZ469" s="88"/>
    </row>
    <row r="470" spans="1:52" s="90" customFormat="1" ht="15" customHeight="1" x14ac:dyDescent="0.3">
      <c r="A470" s="114">
        <v>459</v>
      </c>
      <c r="B470" s="174" t="s">
        <v>1151</v>
      </c>
      <c r="C470" s="120" t="s">
        <v>959</v>
      </c>
      <c r="D470" s="88"/>
      <c r="E470" s="88"/>
      <c r="F470" s="120" t="s">
        <v>958</v>
      </c>
      <c r="G470" s="25" t="s">
        <v>145</v>
      </c>
      <c r="H470" s="85" t="s">
        <v>146</v>
      </c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116">
        <v>147.1</v>
      </c>
      <c r="V470" s="120">
        <v>358.49</v>
      </c>
      <c r="W470" s="120">
        <v>33.5</v>
      </c>
      <c r="X470" s="120" t="s">
        <v>207</v>
      </c>
      <c r="Y470" s="120">
        <v>25.57</v>
      </c>
      <c r="Z470" s="120" t="s">
        <v>207</v>
      </c>
      <c r="AA470" s="120">
        <v>23.1</v>
      </c>
      <c r="AB470" s="120" t="s">
        <v>207</v>
      </c>
      <c r="AC470" s="120">
        <v>14.55</v>
      </c>
      <c r="AD470" s="120" t="s">
        <v>207</v>
      </c>
      <c r="AE470" s="120">
        <v>4.26</v>
      </c>
      <c r="AF470" s="120" t="s">
        <v>207</v>
      </c>
      <c r="AG470" s="120">
        <v>0</v>
      </c>
      <c r="AH470" s="120" t="s">
        <v>207</v>
      </c>
      <c r="AI470" s="120">
        <v>0</v>
      </c>
      <c r="AJ470" s="118" t="s">
        <v>207</v>
      </c>
      <c r="AK470" s="120">
        <v>0</v>
      </c>
      <c r="AL470" s="118" t="s">
        <v>207</v>
      </c>
      <c r="AM470" s="120">
        <v>0.36</v>
      </c>
      <c r="AN470" s="118" t="s">
        <v>207</v>
      </c>
      <c r="AO470" s="120">
        <v>11.8</v>
      </c>
      <c r="AP470" s="120" t="s">
        <v>207</v>
      </c>
      <c r="AQ470" s="120">
        <v>16.079999999999998</v>
      </c>
      <c r="AR470" s="120" t="s">
        <v>207</v>
      </c>
      <c r="AS470" s="120">
        <v>17.88</v>
      </c>
      <c r="AT470" s="120" t="s">
        <v>207</v>
      </c>
      <c r="AU470" s="118">
        <f t="shared" si="28"/>
        <v>147.1</v>
      </c>
      <c r="AV470" s="88"/>
      <c r="AW470" s="88"/>
      <c r="AX470" s="88"/>
      <c r="AY470" s="88"/>
      <c r="AZ470" s="88"/>
    </row>
    <row r="471" spans="1:52" s="90" customFormat="1" ht="15" customHeight="1" x14ac:dyDescent="0.3">
      <c r="A471" s="114">
        <v>460</v>
      </c>
      <c r="B471" s="174" t="s">
        <v>1152</v>
      </c>
      <c r="C471" s="120" t="s">
        <v>959</v>
      </c>
      <c r="D471" s="88"/>
      <c r="E471" s="88"/>
      <c r="F471" s="120" t="s">
        <v>958</v>
      </c>
      <c r="G471" s="25" t="s">
        <v>145</v>
      </c>
      <c r="H471" s="85" t="s">
        <v>146</v>
      </c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116"/>
      <c r="V471" s="120"/>
      <c r="W471" s="120"/>
      <c r="X471" s="120" t="s">
        <v>207</v>
      </c>
      <c r="Y471" s="120"/>
      <c r="Z471" s="120" t="s">
        <v>207</v>
      </c>
      <c r="AA471" s="120"/>
      <c r="AB471" s="120" t="s">
        <v>207</v>
      </c>
      <c r="AC471" s="120"/>
      <c r="AD471" s="120" t="s">
        <v>207</v>
      </c>
      <c r="AE471" s="120"/>
      <c r="AF471" s="120" t="s">
        <v>207</v>
      </c>
      <c r="AG471" s="120"/>
      <c r="AH471" s="120" t="s">
        <v>207</v>
      </c>
      <c r="AI471" s="120"/>
      <c r="AJ471" s="118" t="s">
        <v>207</v>
      </c>
      <c r="AK471" s="120"/>
      <c r="AL471" s="118" t="s">
        <v>207</v>
      </c>
      <c r="AM471" s="120"/>
      <c r="AN471" s="118" t="s">
        <v>207</v>
      </c>
      <c r="AO471" s="120"/>
      <c r="AP471" s="120" t="s">
        <v>207</v>
      </c>
      <c r="AQ471" s="120"/>
      <c r="AR471" s="120" t="s">
        <v>207</v>
      </c>
      <c r="AS471" s="120"/>
      <c r="AT471" s="120" t="s">
        <v>207</v>
      </c>
      <c r="AU471" s="118">
        <f t="shared" si="28"/>
        <v>0</v>
      </c>
      <c r="AV471" s="88"/>
      <c r="AW471" s="88"/>
      <c r="AX471" s="88"/>
      <c r="AY471" s="88"/>
      <c r="AZ471" s="88"/>
    </row>
    <row r="472" spans="1:52" s="90" customFormat="1" ht="15" customHeight="1" x14ac:dyDescent="0.3">
      <c r="A472" s="114">
        <v>461</v>
      </c>
      <c r="B472" s="174" t="s">
        <v>1153</v>
      </c>
      <c r="C472" s="120" t="s">
        <v>959</v>
      </c>
      <c r="D472" s="88"/>
      <c r="E472" s="88"/>
      <c r="F472" s="120" t="s">
        <v>958</v>
      </c>
      <c r="G472" s="25" t="s">
        <v>145</v>
      </c>
      <c r="H472" s="85" t="s">
        <v>146</v>
      </c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116"/>
      <c r="V472" s="120"/>
      <c r="W472" s="120"/>
      <c r="X472" s="120" t="s">
        <v>207</v>
      </c>
      <c r="Y472" s="120"/>
      <c r="Z472" s="120" t="s">
        <v>207</v>
      </c>
      <c r="AA472" s="120"/>
      <c r="AB472" s="120" t="s">
        <v>207</v>
      </c>
      <c r="AC472" s="120"/>
      <c r="AD472" s="120" t="s">
        <v>207</v>
      </c>
      <c r="AE472" s="120"/>
      <c r="AF472" s="120" t="s">
        <v>207</v>
      </c>
      <c r="AG472" s="120"/>
      <c r="AH472" s="120" t="s">
        <v>207</v>
      </c>
      <c r="AI472" s="120"/>
      <c r="AJ472" s="118" t="s">
        <v>207</v>
      </c>
      <c r="AK472" s="120"/>
      <c r="AL472" s="118" t="s">
        <v>207</v>
      </c>
      <c r="AM472" s="120"/>
      <c r="AN472" s="118" t="s">
        <v>207</v>
      </c>
      <c r="AO472" s="120"/>
      <c r="AP472" s="120" t="s">
        <v>207</v>
      </c>
      <c r="AQ472" s="120"/>
      <c r="AR472" s="120" t="s">
        <v>207</v>
      </c>
      <c r="AS472" s="120"/>
      <c r="AT472" s="120" t="s">
        <v>207</v>
      </c>
      <c r="AU472" s="118">
        <f t="shared" si="28"/>
        <v>0</v>
      </c>
      <c r="AV472" s="88"/>
      <c r="AW472" s="88"/>
      <c r="AX472" s="88"/>
      <c r="AY472" s="88"/>
      <c r="AZ472" s="88"/>
    </row>
    <row r="473" spans="1:52" s="90" customFormat="1" ht="15" customHeight="1" x14ac:dyDescent="0.3">
      <c r="A473" s="114">
        <v>462</v>
      </c>
      <c r="B473" s="174" t="s">
        <v>1154</v>
      </c>
      <c r="C473" s="120" t="s">
        <v>959</v>
      </c>
      <c r="D473" s="88"/>
      <c r="E473" s="88"/>
      <c r="F473" s="120" t="s">
        <v>958</v>
      </c>
      <c r="G473" s="25" t="s">
        <v>145</v>
      </c>
      <c r="H473" s="85" t="s">
        <v>146</v>
      </c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116">
        <v>133.72999999999999</v>
      </c>
      <c r="V473" s="120">
        <v>150.84</v>
      </c>
      <c r="W473" s="120">
        <v>28.53</v>
      </c>
      <c r="X473" s="120" t="s">
        <v>207</v>
      </c>
      <c r="Y473" s="120">
        <v>23.91</v>
      </c>
      <c r="Z473" s="120" t="s">
        <v>207</v>
      </c>
      <c r="AA473" s="120">
        <v>21.33</v>
      </c>
      <c r="AB473" s="120" t="s">
        <v>207</v>
      </c>
      <c r="AC473" s="120">
        <v>13.37</v>
      </c>
      <c r="AD473" s="120" t="s">
        <v>207</v>
      </c>
      <c r="AE473" s="120">
        <v>3.92</v>
      </c>
      <c r="AF473" s="120" t="s">
        <v>207</v>
      </c>
      <c r="AG473" s="120">
        <v>0</v>
      </c>
      <c r="AH473" s="120" t="s">
        <v>207</v>
      </c>
      <c r="AI473" s="120">
        <v>0</v>
      </c>
      <c r="AJ473" s="118" t="s">
        <v>207</v>
      </c>
      <c r="AK473" s="120">
        <v>0</v>
      </c>
      <c r="AL473" s="118" t="s">
        <v>207</v>
      </c>
      <c r="AM473" s="120">
        <v>0.59</v>
      </c>
      <c r="AN473" s="118" t="s">
        <v>207</v>
      </c>
      <c r="AO473" s="120">
        <v>10.84</v>
      </c>
      <c r="AP473" s="120" t="s">
        <v>207</v>
      </c>
      <c r="AQ473" s="120">
        <v>14.81</v>
      </c>
      <c r="AR473" s="120" t="s">
        <v>207</v>
      </c>
      <c r="AS473" s="120">
        <v>16.43</v>
      </c>
      <c r="AT473" s="120" t="s">
        <v>207</v>
      </c>
      <c r="AU473" s="118">
        <f t="shared" si="28"/>
        <v>133.73000000000002</v>
      </c>
      <c r="AV473" s="88"/>
      <c r="AW473" s="88"/>
      <c r="AX473" s="88"/>
      <c r="AY473" s="88"/>
      <c r="AZ473" s="88"/>
    </row>
    <row r="474" spans="1:52" s="90" customFormat="1" ht="15" customHeight="1" x14ac:dyDescent="0.3">
      <c r="A474" s="114">
        <v>463</v>
      </c>
      <c r="B474" s="174" t="s">
        <v>1155</v>
      </c>
      <c r="C474" s="120" t="s">
        <v>959</v>
      </c>
      <c r="D474" s="88"/>
      <c r="E474" s="88"/>
      <c r="F474" s="120" t="s">
        <v>958</v>
      </c>
      <c r="G474" s="25" t="s">
        <v>145</v>
      </c>
      <c r="H474" s="85" t="s">
        <v>146</v>
      </c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116"/>
      <c r="V474" s="120"/>
      <c r="W474" s="120"/>
      <c r="X474" s="120" t="s">
        <v>207</v>
      </c>
      <c r="Y474" s="120"/>
      <c r="Z474" s="120" t="s">
        <v>207</v>
      </c>
      <c r="AA474" s="120"/>
      <c r="AB474" s="120" t="s">
        <v>207</v>
      </c>
      <c r="AC474" s="120"/>
      <c r="AD474" s="120" t="s">
        <v>207</v>
      </c>
      <c r="AE474" s="120"/>
      <c r="AF474" s="120" t="s">
        <v>207</v>
      </c>
      <c r="AG474" s="120"/>
      <c r="AH474" s="120" t="s">
        <v>207</v>
      </c>
      <c r="AI474" s="120"/>
      <c r="AJ474" s="118" t="s">
        <v>207</v>
      </c>
      <c r="AK474" s="120"/>
      <c r="AL474" s="118" t="s">
        <v>207</v>
      </c>
      <c r="AM474" s="120"/>
      <c r="AN474" s="118" t="s">
        <v>207</v>
      </c>
      <c r="AO474" s="120"/>
      <c r="AP474" s="120" t="s">
        <v>207</v>
      </c>
      <c r="AQ474" s="120"/>
      <c r="AR474" s="120" t="s">
        <v>207</v>
      </c>
      <c r="AS474" s="120"/>
      <c r="AT474" s="120" t="s">
        <v>207</v>
      </c>
      <c r="AU474" s="118">
        <f t="shared" si="28"/>
        <v>0</v>
      </c>
      <c r="AV474" s="88"/>
      <c r="AW474" s="88"/>
      <c r="AX474" s="88"/>
      <c r="AY474" s="88"/>
      <c r="AZ474" s="88"/>
    </row>
    <row r="475" spans="1:52" s="90" customFormat="1" ht="15" customHeight="1" x14ac:dyDescent="0.3">
      <c r="A475" s="114">
        <v>464</v>
      </c>
      <c r="B475" s="174" t="s">
        <v>1156</v>
      </c>
      <c r="C475" s="120" t="s">
        <v>959</v>
      </c>
      <c r="D475" s="88"/>
      <c r="E475" s="88"/>
      <c r="F475" s="120" t="s">
        <v>958</v>
      </c>
      <c r="G475" s="25" t="s">
        <v>145</v>
      </c>
      <c r="H475" s="85" t="s">
        <v>146</v>
      </c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116"/>
      <c r="V475" s="120"/>
      <c r="W475" s="120"/>
      <c r="X475" s="120" t="s">
        <v>207</v>
      </c>
      <c r="Y475" s="120"/>
      <c r="Z475" s="120" t="s">
        <v>207</v>
      </c>
      <c r="AA475" s="120"/>
      <c r="AB475" s="120" t="s">
        <v>207</v>
      </c>
      <c r="AC475" s="120"/>
      <c r="AD475" s="120" t="s">
        <v>207</v>
      </c>
      <c r="AE475" s="120"/>
      <c r="AF475" s="120" t="s">
        <v>207</v>
      </c>
      <c r="AG475" s="120"/>
      <c r="AH475" s="120" t="s">
        <v>207</v>
      </c>
      <c r="AI475" s="120"/>
      <c r="AJ475" s="118" t="s">
        <v>207</v>
      </c>
      <c r="AK475" s="120"/>
      <c r="AL475" s="118" t="s">
        <v>207</v>
      </c>
      <c r="AM475" s="120"/>
      <c r="AN475" s="118" t="s">
        <v>207</v>
      </c>
      <c r="AO475" s="120"/>
      <c r="AP475" s="120" t="s">
        <v>207</v>
      </c>
      <c r="AQ475" s="120"/>
      <c r="AR475" s="120" t="s">
        <v>207</v>
      </c>
      <c r="AS475" s="120"/>
      <c r="AT475" s="120" t="s">
        <v>207</v>
      </c>
      <c r="AU475" s="118">
        <f t="shared" si="28"/>
        <v>0</v>
      </c>
      <c r="AV475" s="88"/>
      <c r="AW475" s="88"/>
      <c r="AX475" s="88"/>
      <c r="AY475" s="88"/>
      <c r="AZ475" s="88"/>
    </row>
    <row r="476" spans="1:52" s="90" customFormat="1" ht="15" customHeight="1" x14ac:dyDescent="0.3">
      <c r="A476" s="114">
        <v>465</v>
      </c>
      <c r="B476" s="174" t="s">
        <v>1157</v>
      </c>
      <c r="C476" s="120" t="s">
        <v>959</v>
      </c>
      <c r="D476" s="88"/>
      <c r="E476" s="88"/>
      <c r="F476" s="120" t="s">
        <v>958</v>
      </c>
      <c r="G476" s="25" t="s">
        <v>145</v>
      </c>
      <c r="H476" s="85" t="s">
        <v>146</v>
      </c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116"/>
      <c r="V476" s="120"/>
      <c r="W476" s="120"/>
      <c r="X476" s="120" t="s">
        <v>207</v>
      </c>
      <c r="Y476" s="120"/>
      <c r="Z476" s="120" t="s">
        <v>207</v>
      </c>
      <c r="AA476" s="120"/>
      <c r="AB476" s="120" t="s">
        <v>207</v>
      </c>
      <c r="AC476" s="120"/>
      <c r="AD476" s="120" t="s">
        <v>207</v>
      </c>
      <c r="AE476" s="120"/>
      <c r="AF476" s="120" t="s">
        <v>207</v>
      </c>
      <c r="AG476" s="120"/>
      <c r="AH476" s="120" t="s">
        <v>207</v>
      </c>
      <c r="AI476" s="120"/>
      <c r="AJ476" s="118" t="s">
        <v>207</v>
      </c>
      <c r="AK476" s="120"/>
      <c r="AL476" s="118" t="s">
        <v>207</v>
      </c>
      <c r="AM476" s="120"/>
      <c r="AN476" s="118" t="s">
        <v>207</v>
      </c>
      <c r="AO476" s="120"/>
      <c r="AP476" s="120" t="s">
        <v>207</v>
      </c>
      <c r="AQ476" s="120"/>
      <c r="AR476" s="120" t="s">
        <v>207</v>
      </c>
      <c r="AS476" s="120"/>
      <c r="AT476" s="120" t="s">
        <v>207</v>
      </c>
      <c r="AU476" s="118">
        <f t="shared" si="28"/>
        <v>0</v>
      </c>
      <c r="AV476" s="88"/>
      <c r="AW476" s="88"/>
      <c r="AX476" s="88"/>
      <c r="AY476" s="88"/>
      <c r="AZ476" s="88"/>
    </row>
    <row r="477" spans="1:52" s="90" customFormat="1" ht="15" customHeight="1" x14ac:dyDescent="0.3">
      <c r="A477" s="114">
        <v>466</v>
      </c>
      <c r="B477" s="174" t="s">
        <v>1158</v>
      </c>
      <c r="C477" s="120" t="s">
        <v>959</v>
      </c>
      <c r="D477" s="88"/>
      <c r="E477" s="88"/>
      <c r="F477" s="120" t="s">
        <v>958</v>
      </c>
      <c r="G477" s="25" t="s">
        <v>145</v>
      </c>
      <c r="H477" s="85" t="s">
        <v>146</v>
      </c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116">
        <v>114.05</v>
      </c>
      <c r="V477" s="120">
        <v>128.75</v>
      </c>
      <c r="W477" s="120">
        <v>24.33</v>
      </c>
      <c r="X477" s="120" t="s">
        <v>207</v>
      </c>
      <c r="Y477" s="120">
        <v>20.39</v>
      </c>
      <c r="Z477" s="120" t="s">
        <v>207</v>
      </c>
      <c r="AA477" s="120">
        <v>18.190000000000001</v>
      </c>
      <c r="AB477" s="120" t="s">
        <v>207</v>
      </c>
      <c r="AC477" s="120">
        <v>11.4</v>
      </c>
      <c r="AD477" s="120" t="s">
        <v>207</v>
      </c>
      <c r="AE477" s="120">
        <v>3.34</v>
      </c>
      <c r="AF477" s="120" t="s">
        <v>207</v>
      </c>
      <c r="AG477" s="120">
        <v>0</v>
      </c>
      <c r="AH477" s="120" t="s">
        <v>207</v>
      </c>
      <c r="AI477" s="120">
        <v>0</v>
      </c>
      <c r="AJ477" s="118" t="s">
        <v>207</v>
      </c>
      <c r="AK477" s="120">
        <v>0</v>
      </c>
      <c r="AL477" s="118" t="s">
        <v>207</v>
      </c>
      <c r="AM477" s="120">
        <v>0.49</v>
      </c>
      <c r="AN477" s="118" t="s">
        <v>207</v>
      </c>
      <c r="AO477" s="120">
        <v>9.25</v>
      </c>
      <c r="AP477" s="120" t="s">
        <v>207</v>
      </c>
      <c r="AQ477" s="120">
        <v>12.64</v>
      </c>
      <c r="AR477" s="120" t="s">
        <v>207</v>
      </c>
      <c r="AS477" s="120">
        <v>14.02</v>
      </c>
      <c r="AT477" s="120" t="s">
        <v>207</v>
      </c>
      <c r="AU477" s="118">
        <f t="shared" si="28"/>
        <v>114.05</v>
      </c>
      <c r="AV477" s="88"/>
      <c r="AW477" s="88"/>
      <c r="AX477" s="88"/>
      <c r="AY477" s="88"/>
      <c r="AZ477" s="88"/>
    </row>
    <row r="478" spans="1:52" s="90" customFormat="1" ht="15" customHeight="1" x14ac:dyDescent="0.3">
      <c r="A478" s="114">
        <v>467</v>
      </c>
      <c r="B478" s="174" t="s">
        <v>1159</v>
      </c>
      <c r="C478" s="120" t="s">
        <v>959</v>
      </c>
      <c r="D478" s="88"/>
      <c r="E478" s="88"/>
      <c r="F478" s="120" t="s">
        <v>958</v>
      </c>
      <c r="G478" s="25" t="s">
        <v>145</v>
      </c>
      <c r="H478" s="85" t="s">
        <v>146</v>
      </c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116"/>
      <c r="V478" s="120"/>
      <c r="W478" s="120"/>
      <c r="X478" s="120" t="s">
        <v>207</v>
      </c>
      <c r="Y478" s="120"/>
      <c r="Z478" s="120" t="s">
        <v>207</v>
      </c>
      <c r="AA478" s="120"/>
      <c r="AB478" s="120" t="s">
        <v>207</v>
      </c>
      <c r="AC478" s="120"/>
      <c r="AD478" s="120" t="s">
        <v>207</v>
      </c>
      <c r="AE478" s="120"/>
      <c r="AF478" s="120" t="s">
        <v>207</v>
      </c>
      <c r="AG478" s="120"/>
      <c r="AH478" s="120" t="s">
        <v>207</v>
      </c>
      <c r="AI478" s="120"/>
      <c r="AJ478" s="118" t="s">
        <v>207</v>
      </c>
      <c r="AK478" s="120"/>
      <c r="AL478" s="118" t="s">
        <v>207</v>
      </c>
      <c r="AM478" s="120"/>
      <c r="AN478" s="118" t="s">
        <v>207</v>
      </c>
      <c r="AO478" s="120"/>
      <c r="AP478" s="120" t="s">
        <v>207</v>
      </c>
      <c r="AQ478" s="120"/>
      <c r="AR478" s="120" t="s">
        <v>207</v>
      </c>
      <c r="AS478" s="120"/>
      <c r="AT478" s="120" t="s">
        <v>207</v>
      </c>
      <c r="AU478" s="118">
        <f t="shared" si="28"/>
        <v>0</v>
      </c>
      <c r="AV478" s="88"/>
      <c r="AW478" s="88"/>
      <c r="AX478" s="88"/>
      <c r="AY478" s="88"/>
      <c r="AZ478" s="88"/>
    </row>
    <row r="479" spans="1:52" s="90" customFormat="1" ht="15" customHeight="1" x14ac:dyDescent="0.3">
      <c r="A479" s="114">
        <v>468</v>
      </c>
      <c r="B479" s="174" t="s">
        <v>1160</v>
      </c>
      <c r="C479" s="120" t="s">
        <v>959</v>
      </c>
      <c r="D479" s="88"/>
      <c r="E479" s="88"/>
      <c r="F479" s="120" t="s">
        <v>958</v>
      </c>
      <c r="G479" s="25" t="s">
        <v>145</v>
      </c>
      <c r="H479" s="85" t="s">
        <v>146</v>
      </c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116"/>
      <c r="V479" s="120"/>
      <c r="W479" s="120">
        <v>0</v>
      </c>
      <c r="X479" s="120" t="s">
        <v>207</v>
      </c>
      <c r="Y479" s="120">
        <v>21.09</v>
      </c>
      <c r="Z479" s="120" t="s">
        <v>207</v>
      </c>
      <c r="AA479" s="120">
        <v>18.66</v>
      </c>
      <c r="AB479" s="120" t="s">
        <v>207</v>
      </c>
      <c r="AC479" s="120">
        <v>11.81</v>
      </c>
      <c r="AD479" s="120" t="s">
        <v>207</v>
      </c>
      <c r="AE479" s="120">
        <v>3.46</v>
      </c>
      <c r="AF479" s="120" t="s">
        <v>207</v>
      </c>
      <c r="AG479" s="120">
        <v>0</v>
      </c>
      <c r="AH479" s="120" t="s">
        <v>207</v>
      </c>
      <c r="AI479" s="120">
        <v>0</v>
      </c>
      <c r="AJ479" s="118" t="s">
        <v>207</v>
      </c>
      <c r="AK479" s="120">
        <v>0</v>
      </c>
      <c r="AL479" s="118" t="s">
        <v>207</v>
      </c>
      <c r="AM479" s="120">
        <v>0.52</v>
      </c>
      <c r="AN479" s="118" t="s">
        <v>207</v>
      </c>
      <c r="AO479" s="120">
        <v>9</v>
      </c>
      <c r="AP479" s="120" t="s">
        <v>207</v>
      </c>
      <c r="AQ479" s="120">
        <v>12.54</v>
      </c>
      <c r="AR479" s="120" t="s">
        <v>207</v>
      </c>
      <c r="AS479" s="120">
        <v>14.34</v>
      </c>
      <c r="AT479" s="120" t="s">
        <v>207</v>
      </c>
      <c r="AU479" s="118">
        <f t="shared" si="28"/>
        <v>91.420000000000016</v>
      </c>
      <c r="AV479" s="88"/>
      <c r="AW479" s="88"/>
      <c r="AX479" s="88"/>
      <c r="AY479" s="88"/>
      <c r="AZ479" s="88"/>
    </row>
    <row r="480" spans="1:52" s="90" customFormat="1" ht="15" customHeight="1" x14ac:dyDescent="0.3">
      <c r="A480" s="114">
        <v>469</v>
      </c>
      <c r="B480" s="174" t="s">
        <v>1161</v>
      </c>
      <c r="C480" s="120" t="s">
        <v>959</v>
      </c>
      <c r="D480" s="88"/>
      <c r="E480" s="88"/>
      <c r="F480" s="120" t="s">
        <v>958</v>
      </c>
      <c r="G480" s="25" t="s">
        <v>145</v>
      </c>
      <c r="H480" s="85" t="s">
        <v>146</v>
      </c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116">
        <v>106.11</v>
      </c>
      <c r="V480" s="120">
        <v>122.18</v>
      </c>
      <c r="W480" s="120">
        <v>23.07</v>
      </c>
      <c r="X480" s="120" t="s">
        <v>207</v>
      </c>
      <c r="Y480" s="120">
        <v>19.34</v>
      </c>
      <c r="Z480" s="120" t="s">
        <v>207</v>
      </c>
      <c r="AA480" s="120">
        <v>17.260000000000002</v>
      </c>
      <c r="AB480" s="120" t="s">
        <v>207</v>
      </c>
      <c r="AC480" s="120">
        <v>10.81</v>
      </c>
      <c r="AD480" s="120" t="s">
        <v>207</v>
      </c>
      <c r="AE480" s="120">
        <v>3.17</v>
      </c>
      <c r="AF480" s="120" t="s">
        <v>207</v>
      </c>
      <c r="AG480" s="120">
        <v>0</v>
      </c>
      <c r="AH480" s="120" t="s">
        <v>207</v>
      </c>
      <c r="AI480" s="120">
        <v>0</v>
      </c>
      <c r="AJ480" s="118" t="s">
        <v>207</v>
      </c>
      <c r="AK480" s="120">
        <v>0</v>
      </c>
      <c r="AL480" s="118" t="s">
        <v>207</v>
      </c>
      <c r="AM480" s="120">
        <v>0.48</v>
      </c>
      <c r="AN480" s="118" t="s">
        <v>207</v>
      </c>
      <c r="AO480" s="120">
        <v>8.25</v>
      </c>
      <c r="AP480" s="120" t="s">
        <v>207</v>
      </c>
      <c r="AQ480" s="120">
        <v>10.57</v>
      </c>
      <c r="AR480" s="120" t="s">
        <v>207</v>
      </c>
      <c r="AS480" s="120">
        <v>13.16</v>
      </c>
      <c r="AT480" s="120" t="s">
        <v>207</v>
      </c>
      <c r="AU480" s="118">
        <f t="shared" si="28"/>
        <v>106.11000000000001</v>
      </c>
      <c r="AV480" s="88"/>
      <c r="AW480" s="88"/>
      <c r="AX480" s="88"/>
      <c r="AY480" s="88"/>
      <c r="AZ480" s="88"/>
    </row>
    <row r="481" spans="1:52" s="90" customFormat="1" ht="15" customHeight="1" x14ac:dyDescent="0.3">
      <c r="A481" s="114">
        <v>470</v>
      </c>
      <c r="B481" s="174" t="s">
        <v>1162</v>
      </c>
      <c r="C481" s="120" t="s">
        <v>959</v>
      </c>
      <c r="D481" s="88"/>
      <c r="E481" s="88"/>
      <c r="F481" s="120" t="s">
        <v>958</v>
      </c>
      <c r="G481" s="25" t="s">
        <v>145</v>
      </c>
      <c r="H481" s="85" t="s">
        <v>146</v>
      </c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116">
        <v>108.01</v>
      </c>
      <c r="V481" s="120">
        <v>124.41</v>
      </c>
      <c r="W481" s="120">
        <v>23.49</v>
      </c>
      <c r="X481" s="120" t="s">
        <v>207</v>
      </c>
      <c r="Y481" s="120">
        <v>19.68</v>
      </c>
      <c r="Z481" s="120" t="s">
        <v>207</v>
      </c>
      <c r="AA481" s="120">
        <v>17.579999999999998</v>
      </c>
      <c r="AB481" s="120" t="s">
        <v>207</v>
      </c>
      <c r="AC481" s="120">
        <v>11.01</v>
      </c>
      <c r="AD481" s="120" t="s">
        <v>207</v>
      </c>
      <c r="AE481" s="120">
        <v>3.23</v>
      </c>
      <c r="AF481" s="120" t="s">
        <v>207</v>
      </c>
      <c r="AG481" s="120">
        <v>0</v>
      </c>
      <c r="AH481" s="120" t="s">
        <v>207</v>
      </c>
      <c r="AI481" s="120">
        <v>0</v>
      </c>
      <c r="AJ481" s="118" t="s">
        <v>207</v>
      </c>
      <c r="AK481" s="120">
        <v>0</v>
      </c>
      <c r="AL481" s="118" t="s">
        <v>207</v>
      </c>
      <c r="AM481" s="120">
        <v>0.48</v>
      </c>
      <c r="AN481" s="118" t="s">
        <v>207</v>
      </c>
      <c r="AO481" s="120">
        <v>8.4</v>
      </c>
      <c r="AP481" s="120" t="s">
        <v>207</v>
      </c>
      <c r="AQ481" s="120">
        <v>10.75</v>
      </c>
      <c r="AR481" s="120" t="s">
        <v>207</v>
      </c>
      <c r="AS481" s="120">
        <v>13.39</v>
      </c>
      <c r="AT481" s="120" t="s">
        <v>207</v>
      </c>
      <c r="AU481" s="118">
        <f t="shared" si="28"/>
        <v>108.01000000000002</v>
      </c>
      <c r="AV481" s="88"/>
      <c r="AW481" s="88"/>
      <c r="AX481" s="88"/>
      <c r="AY481" s="88"/>
      <c r="AZ481" s="88"/>
    </row>
    <row r="482" spans="1:52" s="90" customFormat="1" ht="15" customHeight="1" x14ac:dyDescent="0.3">
      <c r="A482" s="114">
        <v>471</v>
      </c>
      <c r="B482" s="174" t="s">
        <v>1163</v>
      </c>
      <c r="C482" s="120" t="s">
        <v>959</v>
      </c>
      <c r="D482" s="88"/>
      <c r="E482" s="88"/>
      <c r="F482" s="120" t="s">
        <v>958</v>
      </c>
      <c r="G482" s="25" t="s">
        <v>145</v>
      </c>
      <c r="H482" s="85" t="s">
        <v>146</v>
      </c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116">
        <v>120.66</v>
      </c>
      <c r="V482" s="120">
        <v>137.72999999999999</v>
      </c>
      <c r="W482" s="120">
        <v>26.02</v>
      </c>
      <c r="X482" s="120" t="s">
        <v>207</v>
      </c>
      <c r="Y482" s="120">
        <v>21.79</v>
      </c>
      <c r="Z482" s="120" t="s">
        <v>207</v>
      </c>
      <c r="AA482" s="120">
        <v>19.45</v>
      </c>
      <c r="AB482" s="120" t="s">
        <v>207</v>
      </c>
      <c r="AC482" s="120">
        <v>12.2</v>
      </c>
      <c r="AD482" s="120" t="s">
        <v>207</v>
      </c>
      <c r="AE482" s="120">
        <v>3.58</v>
      </c>
      <c r="AF482" s="120" t="s">
        <v>207</v>
      </c>
      <c r="AG482" s="120">
        <v>0</v>
      </c>
      <c r="AH482" s="120" t="s">
        <v>207</v>
      </c>
      <c r="AI482" s="120">
        <v>0</v>
      </c>
      <c r="AJ482" s="118" t="s">
        <v>207</v>
      </c>
      <c r="AK482" s="120">
        <v>0</v>
      </c>
      <c r="AL482" s="118" t="s">
        <v>207</v>
      </c>
      <c r="AM482" s="120">
        <v>0.54</v>
      </c>
      <c r="AN482" s="118" t="s">
        <v>207</v>
      </c>
      <c r="AO482" s="120">
        <v>9.3000000000000007</v>
      </c>
      <c r="AP482" s="120" t="s">
        <v>207</v>
      </c>
      <c r="AQ482" s="120">
        <v>12.95</v>
      </c>
      <c r="AR482" s="120" t="s">
        <v>207</v>
      </c>
      <c r="AS482" s="120">
        <v>14.83</v>
      </c>
      <c r="AT482" s="120" t="s">
        <v>207</v>
      </c>
      <c r="AU482" s="118">
        <f t="shared" si="28"/>
        <v>120.66000000000001</v>
      </c>
      <c r="AV482" s="88"/>
      <c r="AW482" s="88"/>
      <c r="AX482" s="88"/>
      <c r="AY482" s="88"/>
      <c r="AZ482" s="88"/>
    </row>
    <row r="483" spans="1:52" s="90" customFormat="1" ht="15" customHeight="1" x14ac:dyDescent="0.3">
      <c r="A483" s="114">
        <v>472</v>
      </c>
      <c r="B483" s="174" t="s">
        <v>1164</v>
      </c>
      <c r="C483" s="120" t="s">
        <v>959</v>
      </c>
      <c r="D483" s="88"/>
      <c r="E483" s="88"/>
      <c r="F483" s="120" t="s">
        <v>958</v>
      </c>
      <c r="G483" s="25" t="s">
        <v>145</v>
      </c>
      <c r="H483" s="85" t="s">
        <v>146</v>
      </c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116">
        <v>116.59</v>
      </c>
      <c r="V483" s="120">
        <v>133.29</v>
      </c>
      <c r="W483" s="120">
        <v>25.17</v>
      </c>
      <c r="X483" s="120" t="s">
        <v>207</v>
      </c>
      <c r="Y483" s="120">
        <v>21.09</v>
      </c>
      <c r="Z483" s="120" t="s">
        <v>207</v>
      </c>
      <c r="AA483" s="120">
        <v>18.66</v>
      </c>
      <c r="AB483" s="120" t="s">
        <v>207</v>
      </c>
      <c r="AC483" s="120">
        <v>11.81</v>
      </c>
      <c r="AD483" s="120" t="s">
        <v>207</v>
      </c>
      <c r="AE483" s="120">
        <v>3.46</v>
      </c>
      <c r="AF483" s="120" t="s">
        <v>207</v>
      </c>
      <c r="AG483" s="120">
        <v>0</v>
      </c>
      <c r="AH483" s="120" t="s">
        <v>207</v>
      </c>
      <c r="AI483" s="120">
        <v>0</v>
      </c>
      <c r="AJ483" s="118" t="s">
        <v>207</v>
      </c>
      <c r="AK483" s="120">
        <v>0</v>
      </c>
      <c r="AL483" s="118" t="s">
        <v>207</v>
      </c>
      <c r="AM483" s="120">
        <v>0.52</v>
      </c>
      <c r="AN483" s="118" t="s">
        <v>207</v>
      </c>
      <c r="AO483" s="120">
        <v>9</v>
      </c>
      <c r="AP483" s="120" t="s">
        <v>207</v>
      </c>
      <c r="AQ483" s="120">
        <v>12.54</v>
      </c>
      <c r="AR483" s="120" t="s">
        <v>207</v>
      </c>
      <c r="AS483" s="120">
        <v>14.34</v>
      </c>
      <c r="AT483" s="120" t="s">
        <v>207</v>
      </c>
      <c r="AU483" s="118">
        <f t="shared" si="28"/>
        <v>116.59</v>
      </c>
      <c r="AV483" s="88"/>
      <c r="AW483" s="88"/>
      <c r="AX483" s="88"/>
      <c r="AY483" s="88"/>
      <c r="AZ483" s="88"/>
    </row>
    <row r="484" spans="1:52" s="90" customFormat="1" ht="15" customHeight="1" x14ac:dyDescent="0.3">
      <c r="A484" s="114">
        <v>473</v>
      </c>
      <c r="B484" s="174" t="s">
        <v>1165</v>
      </c>
      <c r="C484" s="120" t="s">
        <v>959</v>
      </c>
      <c r="D484" s="88"/>
      <c r="E484" s="88"/>
      <c r="F484" s="120" t="s">
        <v>958</v>
      </c>
      <c r="G484" s="25" t="s">
        <v>145</v>
      </c>
      <c r="H484" s="85" t="s">
        <v>146</v>
      </c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116">
        <v>104.7</v>
      </c>
      <c r="V484" s="120">
        <v>117.85</v>
      </c>
      <c r="W484" s="120">
        <v>22.25</v>
      </c>
      <c r="X484" s="120" t="s">
        <v>207</v>
      </c>
      <c r="Y484" s="120">
        <v>18.649999999999999</v>
      </c>
      <c r="Z484" s="120" t="s">
        <v>207</v>
      </c>
      <c r="AA484" s="120">
        <v>16.649999999999999</v>
      </c>
      <c r="AB484" s="120" t="s">
        <v>207</v>
      </c>
      <c r="AC484" s="120">
        <v>12.18</v>
      </c>
      <c r="AD484" s="120" t="s">
        <v>207</v>
      </c>
      <c r="AE484" s="120">
        <v>3.06</v>
      </c>
      <c r="AF484" s="120" t="s">
        <v>207</v>
      </c>
      <c r="AG484" s="120">
        <v>0</v>
      </c>
      <c r="AH484" s="120" t="s">
        <v>207</v>
      </c>
      <c r="AI484" s="120">
        <v>0</v>
      </c>
      <c r="AJ484" s="118" t="s">
        <v>207</v>
      </c>
      <c r="AK484" s="120">
        <v>0</v>
      </c>
      <c r="AL484" s="118" t="s">
        <v>207</v>
      </c>
      <c r="AM484" s="120">
        <v>0.46</v>
      </c>
      <c r="AN484" s="118" t="s">
        <v>207</v>
      </c>
      <c r="AO484" s="120">
        <v>8.2799999999999994</v>
      </c>
      <c r="AP484" s="120" t="s">
        <v>207</v>
      </c>
      <c r="AQ484" s="120">
        <v>10.36</v>
      </c>
      <c r="AR484" s="120" t="s">
        <v>207</v>
      </c>
      <c r="AS484" s="120">
        <v>12.81</v>
      </c>
      <c r="AT484" s="120" t="s">
        <v>207</v>
      </c>
      <c r="AU484" s="118">
        <f t="shared" si="28"/>
        <v>104.69999999999999</v>
      </c>
      <c r="AV484" s="88"/>
      <c r="AW484" s="88"/>
      <c r="AX484" s="88"/>
      <c r="AY484" s="88"/>
      <c r="AZ484" s="88"/>
    </row>
    <row r="485" spans="1:52" s="90" customFormat="1" ht="15" customHeight="1" x14ac:dyDescent="0.3">
      <c r="A485" s="114">
        <v>474</v>
      </c>
      <c r="B485" s="174" t="s">
        <v>1166</v>
      </c>
      <c r="C485" s="120" t="s">
        <v>804</v>
      </c>
      <c r="D485" s="88"/>
      <c r="E485" s="88"/>
      <c r="F485" s="120" t="s">
        <v>958</v>
      </c>
      <c r="G485" s="25" t="s">
        <v>145</v>
      </c>
      <c r="H485" s="85" t="s">
        <v>146</v>
      </c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116">
        <v>600.91</v>
      </c>
      <c r="V485" s="120">
        <v>742.95</v>
      </c>
      <c r="W485" s="120">
        <v>98.16</v>
      </c>
      <c r="X485" s="120" t="s">
        <v>207</v>
      </c>
      <c r="Y485" s="120">
        <v>96.85</v>
      </c>
      <c r="Z485" s="120" t="s">
        <v>207</v>
      </c>
      <c r="AA485" s="120">
        <v>128.1</v>
      </c>
      <c r="AB485" s="120" t="s">
        <v>207</v>
      </c>
      <c r="AC485" s="120">
        <v>73.3</v>
      </c>
      <c r="AD485" s="120" t="s">
        <v>207</v>
      </c>
      <c r="AE485" s="120">
        <v>14.2</v>
      </c>
      <c r="AF485" s="120" t="s">
        <v>207</v>
      </c>
      <c r="AG485" s="120">
        <v>0</v>
      </c>
      <c r="AH485" s="120" t="s">
        <v>207</v>
      </c>
      <c r="AI485" s="120">
        <v>0</v>
      </c>
      <c r="AJ485" s="118" t="s">
        <v>207</v>
      </c>
      <c r="AK485" s="120">
        <v>0</v>
      </c>
      <c r="AL485" s="118" t="s">
        <v>207</v>
      </c>
      <c r="AM485" s="120">
        <v>0.34</v>
      </c>
      <c r="AN485" s="118" t="s">
        <v>207</v>
      </c>
      <c r="AO485" s="120">
        <v>76.5</v>
      </c>
      <c r="AP485" s="120" t="s">
        <v>207</v>
      </c>
      <c r="AQ485" s="120">
        <v>77.599999999999994</v>
      </c>
      <c r="AR485" s="120" t="s">
        <v>207</v>
      </c>
      <c r="AS485" s="120">
        <v>97.9</v>
      </c>
      <c r="AT485" s="120" t="s">
        <v>207</v>
      </c>
      <c r="AU485" s="118">
        <f t="shared" si="28"/>
        <v>662.94999999999993</v>
      </c>
      <c r="AV485" s="88"/>
      <c r="AW485" s="88"/>
      <c r="AX485" s="88"/>
      <c r="AY485" s="88"/>
      <c r="AZ485" s="88"/>
    </row>
    <row r="486" spans="1:52" s="90" customFormat="1" ht="15" customHeight="1" x14ac:dyDescent="0.3">
      <c r="A486" s="114">
        <v>475</v>
      </c>
      <c r="B486" s="174" t="s">
        <v>1167</v>
      </c>
      <c r="C486" s="120" t="s">
        <v>804</v>
      </c>
      <c r="D486" s="88"/>
      <c r="E486" s="88"/>
      <c r="F486" s="120" t="s">
        <v>958</v>
      </c>
      <c r="G486" s="25" t="s">
        <v>145</v>
      </c>
      <c r="H486" s="85" t="s">
        <v>146</v>
      </c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116">
        <v>745.08</v>
      </c>
      <c r="V486" s="120">
        <v>774.51</v>
      </c>
      <c r="W486" s="120">
        <v>54.63</v>
      </c>
      <c r="X486" s="120" t="s">
        <v>207</v>
      </c>
      <c r="Y486" s="120">
        <v>60.24</v>
      </c>
      <c r="Z486" s="120" t="s">
        <v>207</v>
      </c>
      <c r="AA486" s="120">
        <v>59.73</v>
      </c>
      <c r="AB486" s="120" t="s">
        <v>207</v>
      </c>
      <c r="AC486" s="120">
        <v>60.47</v>
      </c>
      <c r="AD486" s="120" t="s">
        <v>207</v>
      </c>
      <c r="AE486" s="120">
        <v>59.58</v>
      </c>
      <c r="AF486" s="120" t="s">
        <v>207</v>
      </c>
      <c r="AG486" s="120">
        <v>60.36</v>
      </c>
      <c r="AH486" s="120" t="s">
        <v>207</v>
      </c>
      <c r="AI486" s="120">
        <v>15.46</v>
      </c>
      <c r="AJ486" s="118" t="s">
        <v>207</v>
      </c>
      <c r="AK486" s="120">
        <v>15.49</v>
      </c>
      <c r="AL486" s="118" t="s">
        <v>207</v>
      </c>
      <c r="AM486" s="120">
        <v>-6.56</v>
      </c>
      <c r="AN486" s="118" t="s">
        <v>207</v>
      </c>
      <c r="AO486" s="120">
        <v>11.41</v>
      </c>
      <c r="AP486" s="120" t="s">
        <v>207</v>
      </c>
      <c r="AQ486" s="120">
        <v>55.26</v>
      </c>
      <c r="AR486" s="120" t="s">
        <v>207</v>
      </c>
      <c r="AS486" s="120">
        <v>55.43</v>
      </c>
      <c r="AT486" s="120" t="s">
        <v>207</v>
      </c>
      <c r="AU486" s="118">
        <f t="shared" si="28"/>
        <v>501.5</v>
      </c>
      <c r="AV486" s="88"/>
      <c r="AW486" s="88"/>
      <c r="AX486" s="88"/>
      <c r="AY486" s="88"/>
      <c r="AZ486" s="88"/>
    </row>
    <row r="487" spans="1:52" s="90" customFormat="1" ht="15" customHeight="1" x14ac:dyDescent="0.3">
      <c r="A487" s="114">
        <v>476</v>
      </c>
      <c r="B487" s="174" t="s">
        <v>1168</v>
      </c>
      <c r="C487" s="120" t="s">
        <v>804</v>
      </c>
      <c r="D487" s="88"/>
      <c r="E487" s="88"/>
      <c r="F487" s="120" t="s">
        <v>958</v>
      </c>
      <c r="G487" s="25" t="s">
        <v>145</v>
      </c>
      <c r="H487" s="85" t="s">
        <v>146</v>
      </c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116">
        <v>56.67</v>
      </c>
      <c r="V487" s="120">
        <v>92.13</v>
      </c>
      <c r="W487" s="120"/>
      <c r="X487" s="120" t="s">
        <v>207</v>
      </c>
      <c r="Y487" s="120"/>
      <c r="Z487" s="120" t="s">
        <v>207</v>
      </c>
      <c r="AA487" s="120"/>
      <c r="AB487" s="120" t="s">
        <v>207</v>
      </c>
      <c r="AC487" s="120"/>
      <c r="AD487" s="120" t="s">
        <v>207</v>
      </c>
      <c r="AE487" s="120"/>
      <c r="AF487" s="120" t="s">
        <v>207</v>
      </c>
      <c r="AG487" s="120"/>
      <c r="AH487" s="120" t="s">
        <v>207</v>
      </c>
      <c r="AI487" s="120"/>
      <c r="AJ487" s="118" t="s">
        <v>207</v>
      </c>
      <c r="AK487" s="120"/>
      <c r="AL487" s="118" t="s">
        <v>207</v>
      </c>
      <c r="AM487" s="120"/>
      <c r="AN487" s="118" t="s">
        <v>207</v>
      </c>
      <c r="AO487" s="120"/>
      <c r="AP487" s="120" t="s">
        <v>207</v>
      </c>
      <c r="AQ487" s="120"/>
      <c r="AR487" s="120" t="s">
        <v>207</v>
      </c>
      <c r="AS487" s="120"/>
      <c r="AT487" s="120" t="s">
        <v>207</v>
      </c>
      <c r="AU487" s="118">
        <f t="shared" si="28"/>
        <v>0</v>
      </c>
      <c r="AV487" s="88"/>
      <c r="AW487" s="88"/>
      <c r="AX487" s="88"/>
      <c r="AY487" s="88"/>
      <c r="AZ487" s="88"/>
    </row>
    <row r="488" spans="1:52" s="90" customFormat="1" ht="15" customHeight="1" x14ac:dyDescent="0.3">
      <c r="A488" s="114">
        <v>477</v>
      </c>
      <c r="B488" s="174" t="s">
        <v>1169</v>
      </c>
      <c r="C488" s="120" t="s">
        <v>804</v>
      </c>
      <c r="D488" s="88"/>
      <c r="E488" s="88"/>
      <c r="F488" s="120" t="s">
        <v>958</v>
      </c>
      <c r="G488" s="25" t="s">
        <v>145</v>
      </c>
      <c r="H488" s="85" t="s">
        <v>146</v>
      </c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116"/>
      <c r="V488" s="120"/>
      <c r="W488" s="120"/>
      <c r="X488" s="120" t="s">
        <v>207</v>
      </c>
      <c r="Y488" s="120"/>
      <c r="Z488" s="120" t="s">
        <v>207</v>
      </c>
      <c r="AA488" s="120"/>
      <c r="AB488" s="120" t="s">
        <v>207</v>
      </c>
      <c r="AC488" s="120"/>
      <c r="AD488" s="120" t="s">
        <v>207</v>
      </c>
      <c r="AE488" s="120"/>
      <c r="AF488" s="120" t="s">
        <v>207</v>
      </c>
      <c r="AG488" s="120"/>
      <c r="AH488" s="120" t="s">
        <v>207</v>
      </c>
      <c r="AI488" s="120"/>
      <c r="AJ488" s="118" t="s">
        <v>207</v>
      </c>
      <c r="AK488" s="120"/>
      <c r="AL488" s="118" t="s">
        <v>207</v>
      </c>
      <c r="AM488" s="120"/>
      <c r="AN488" s="118" t="s">
        <v>207</v>
      </c>
      <c r="AO488" s="120"/>
      <c r="AP488" s="120" t="s">
        <v>207</v>
      </c>
      <c r="AQ488" s="120"/>
      <c r="AR488" s="120" t="s">
        <v>207</v>
      </c>
      <c r="AS488" s="120"/>
      <c r="AT488" s="120" t="s">
        <v>207</v>
      </c>
      <c r="AU488" s="118">
        <f t="shared" si="28"/>
        <v>0</v>
      </c>
      <c r="AV488" s="88"/>
      <c r="AW488" s="88"/>
      <c r="AX488" s="88"/>
      <c r="AY488" s="88"/>
      <c r="AZ488" s="88"/>
    </row>
    <row r="489" spans="1:52" s="90" customFormat="1" ht="15" customHeight="1" x14ac:dyDescent="0.3">
      <c r="A489" s="114">
        <v>478</v>
      </c>
      <c r="B489" s="174" t="s">
        <v>1170</v>
      </c>
      <c r="C489" s="120" t="s">
        <v>804</v>
      </c>
      <c r="D489" s="88"/>
      <c r="E489" s="88"/>
      <c r="F489" s="120" t="s">
        <v>958</v>
      </c>
      <c r="G489" s="25" t="s">
        <v>145</v>
      </c>
      <c r="H489" s="85" t="s">
        <v>146</v>
      </c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116">
        <v>734.73</v>
      </c>
      <c r="V489" s="120">
        <v>929.72</v>
      </c>
      <c r="W489" s="120">
        <v>76.11</v>
      </c>
      <c r="X489" s="120" t="s">
        <v>207</v>
      </c>
      <c r="Y489" s="120">
        <v>75.48</v>
      </c>
      <c r="Z489" s="120" t="s">
        <v>207</v>
      </c>
      <c r="AA489" s="120">
        <v>119.5</v>
      </c>
      <c r="AB489" s="120" t="s">
        <v>207</v>
      </c>
      <c r="AC489" s="120">
        <v>63.94</v>
      </c>
      <c r="AD489" s="120" t="s">
        <v>207</v>
      </c>
      <c r="AE489" s="120">
        <v>22.87</v>
      </c>
      <c r="AF489" s="120" t="s">
        <v>207</v>
      </c>
      <c r="AG489" s="120">
        <v>8.5399999999999991</v>
      </c>
      <c r="AH489" s="120" t="s">
        <v>207</v>
      </c>
      <c r="AI489" s="120">
        <v>7.87</v>
      </c>
      <c r="AJ489" s="118" t="s">
        <v>207</v>
      </c>
      <c r="AK489" s="120">
        <v>10.62</v>
      </c>
      <c r="AL489" s="118" t="s">
        <v>207</v>
      </c>
      <c r="AM489" s="120">
        <v>13.83</v>
      </c>
      <c r="AN489" s="118" t="s">
        <v>207</v>
      </c>
      <c r="AO489" s="120">
        <v>63.65</v>
      </c>
      <c r="AP489" s="120" t="s">
        <v>207</v>
      </c>
      <c r="AQ489" s="120">
        <v>65.8</v>
      </c>
      <c r="AR489" s="120" t="s">
        <v>207</v>
      </c>
      <c r="AS489" s="120">
        <v>88.32</v>
      </c>
      <c r="AT489" s="120" t="s">
        <v>207</v>
      </c>
      <c r="AU489" s="118">
        <f t="shared" si="28"/>
        <v>616.53</v>
      </c>
      <c r="AV489" s="88"/>
      <c r="AW489" s="88"/>
      <c r="AX489" s="88"/>
      <c r="AY489" s="88"/>
      <c r="AZ489" s="88"/>
    </row>
    <row r="490" spans="1:52" s="90" customFormat="1" ht="15" customHeight="1" x14ac:dyDescent="0.3">
      <c r="A490" s="114">
        <v>479</v>
      </c>
      <c r="B490" s="174" t="s">
        <v>1171</v>
      </c>
      <c r="C490" s="120" t="s">
        <v>804</v>
      </c>
      <c r="D490" s="88"/>
      <c r="E490" s="88"/>
      <c r="F490" s="120" t="s">
        <v>958</v>
      </c>
      <c r="G490" s="25" t="s">
        <v>145</v>
      </c>
      <c r="H490" s="85" t="s">
        <v>146</v>
      </c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116">
        <v>872.77</v>
      </c>
      <c r="V490" s="120">
        <v>852.99</v>
      </c>
      <c r="W490" s="120">
        <v>180.18</v>
      </c>
      <c r="X490" s="120" t="s">
        <v>207</v>
      </c>
      <c r="Y490" s="120">
        <v>225.62</v>
      </c>
      <c r="Z490" s="120" t="s">
        <v>207</v>
      </c>
      <c r="AA490" s="120">
        <v>196.82</v>
      </c>
      <c r="AB490" s="120" t="s">
        <v>207</v>
      </c>
      <c r="AC490" s="120">
        <v>0</v>
      </c>
      <c r="AD490" s="120" t="s">
        <v>207</v>
      </c>
      <c r="AE490" s="120">
        <v>0</v>
      </c>
      <c r="AF490" s="120" t="s">
        <v>207</v>
      </c>
      <c r="AG490" s="120">
        <v>0</v>
      </c>
      <c r="AH490" s="120" t="s">
        <v>207</v>
      </c>
      <c r="AI490" s="120">
        <v>0</v>
      </c>
      <c r="AJ490" s="118" t="s">
        <v>207</v>
      </c>
      <c r="AK490" s="120">
        <v>0</v>
      </c>
      <c r="AL490" s="118" t="s">
        <v>207</v>
      </c>
      <c r="AM490" s="120">
        <v>1.89</v>
      </c>
      <c r="AN490" s="118" t="s">
        <v>207</v>
      </c>
      <c r="AO490" s="120">
        <v>69.3</v>
      </c>
      <c r="AP490" s="120" t="s">
        <v>207</v>
      </c>
      <c r="AQ490" s="120">
        <v>96.65</v>
      </c>
      <c r="AR490" s="120" t="s">
        <v>207</v>
      </c>
      <c r="AS490" s="120">
        <v>102.31</v>
      </c>
      <c r="AT490" s="120" t="s">
        <v>207</v>
      </c>
      <c r="AU490" s="118">
        <f t="shared" si="28"/>
        <v>872.77</v>
      </c>
      <c r="AV490" s="88"/>
      <c r="AW490" s="88"/>
      <c r="AX490" s="88"/>
      <c r="AY490" s="88"/>
      <c r="AZ490" s="88"/>
    </row>
    <row r="491" spans="1:52" s="90" customFormat="1" ht="15" customHeight="1" x14ac:dyDescent="0.3">
      <c r="A491" s="114">
        <v>480</v>
      </c>
      <c r="B491" s="174" t="s">
        <v>1172</v>
      </c>
      <c r="C491" s="120" t="s">
        <v>804</v>
      </c>
      <c r="D491" s="88"/>
      <c r="E491" s="88"/>
      <c r="F491" s="120" t="s">
        <v>958</v>
      </c>
      <c r="G491" s="25" t="s">
        <v>145</v>
      </c>
      <c r="H491" s="85" t="s">
        <v>146</v>
      </c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116">
        <v>496.66</v>
      </c>
      <c r="V491" s="120">
        <v>606.79999999999995</v>
      </c>
      <c r="W491" s="120">
        <v>92.24</v>
      </c>
      <c r="X491" s="120" t="s">
        <v>207</v>
      </c>
      <c r="Y491" s="120">
        <v>80.459999999999994</v>
      </c>
      <c r="Z491" s="120" t="s">
        <v>207</v>
      </c>
      <c r="AA491" s="120">
        <v>70.260000000000005</v>
      </c>
      <c r="AB491" s="120" t="s">
        <v>207</v>
      </c>
      <c r="AC491" s="120">
        <v>57.98</v>
      </c>
      <c r="AD491" s="120" t="s">
        <v>207</v>
      </c>
      <c r="AE491" s="120">
        <v>24.84</v>
      </c>
      <c r="AF491" s="120" t="s">
        <v>207</v>
      </c>
      <c r="AG491" s="120">
        <v>0</v>
      </c>
      <c r="AH491" s="120" t="s">
        <v>207</v>
      </c>
      <c r="AI491" s="120">
        <v>0</v>
      </c>
      <c r="AJ491" s="118" t="s">
        <v>207</v>
      </c>
      <c r="AK491" s="120">
        <v>0</v>
      </c>
      <c r="AL491" s="118" t="s">
        <v>207</v>
      </c>
      <c r="AM491" s="120">
        <v>0</v>
      </c>
      <c r="AN491" s="118" t="s">
        <v>207</v>
      </c>
      <c r="AO491" s="120">
        <v>43.25</v>
      </c>
      <c r="AP491" s="120" t="s">
        <v>207</v>
      </c>
      <c r="AQ491" s="120">
        <v>60.02</v>
      </c>
      <c r="AR491" s="120" t="s">
        <v>207</v>
      </c>
      <c r="AS491" s="120">
        <v>67.61</v>
      </c>
      <c r="AT491" s="120" t="s">
        <v>207</v>
      </c>
      <c r="AU491" s="118">
        <f t="shared" si="28"/>
        <v>496.65999999999997</v>
      </c>
      <c r="AV491" s="88"/>
      <c r="AW491" s="88"/>
      <c r="AX491" s="88"/>
      <c r="AY491" s="88"/>
      <c r="AZ491" s="88"/>
    </row>
    <row r="492" spans="1:52" s="90" customFormat="1" ht="15" customHeight="1" x14ac:dyDescent="0.3">
      <c r="A492" s="114">
        <v>481</v>
      </c>
      <c r="B492" s="174" t="s">
        <v>1173</v>
      </c>
      <c r="C492" s="120" t="s">
        <v>959</v>
      </c>
      <c r="D492" s="88"/>
      <c r="E492" s="88"/>
      <c r="F492" s="120" t="s">
        <v>958</v>
      </c>
      <c r="G492" s="25" t="s">
        <v>145</v>
      </c>
      <c r="H492" s="85" t="s">
        <v>146</v>
      </c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116">
        <v>1276.6600000000001</v>
      </c>
      <c r="V492" s="120">
        <v>1469.02</v>
      </c>
      <c r="W492" s="120">
        <v>295.7</v>
      </c>
      <c r="X492" s="120" t="s">
        <v>207</v>
      </c>
      <c r="Y492" s="120">
        <v>216.61</v>
      </c>
      <c r="Z492" s="120" t="s">
        <v>207</v>
      </c>
      <c r="AA492" s="120">
        <v>190.6</v>
      </c>
      <c r="AB492" s="120" t="s">
        <v>207</v>
      </c>
      <c r="AC492" s="120">
        <v>120.44</v>
      </c>
      <c r="AD492" s="120" t="s">
        <v>207</v>
      </c>
      <c r="AE492" s="120">
        <v>44.43</v>
      </c>
      <c r="AF492" s="120" t="s">
        <v>207</v>
      </c>
      <c r="AG492" s="120">
        <v>8.92</v>
      </c>
      <c r="AH492" s="120" t="s">
        <v>207</v>
      </c>
      <c r="AI492" s="120">
        <v>17.010000000000002</v>
      </c>
      <c r="AJ492" s="118" t="s">
        <v>207</v>
      </c>
      <c r="AK492" s="120">
        <v>7.1</v>
      </c>
      <c r="AL492" s="118" t="s">
        <v>207</v>
      </c>
      <c r="AM492" s="120">
        <v>6.64</v>
      </c>
      <c r="AN492" s="118" t="s">
        <v>207</v>
      </c>
      <c r="AO492" s="120">
        <v>108.7</v>
      </c>
      <c r="AP492" s="120" t="s">
        <v>207</v>
      </c>
      <c r="AQ492" s="120">
        <v>127.99</v>
      </c>
      <c r="AR492" s="120" t="s">
        <v>207</v>
      </c>
      <c r="AS492" s="120">
        <v>155.49</v>
      </c>
      <c r="AT492" s="120" t="s">
        <v>207</v>
      </c>
      <c r="AU492" s="118">
        <f t="shared" si="28"/>
        <v>1299.6299999999999</v>
      </c>
      <c r="AV492" s="88"/>
      <c r="AW492" s="88"/>
      <c r="AX492" s="88"/>
      <c r="AY492" s="88"/>
      <c r="AZ492" s="88"/>
    </row>
    <row r="493" spans="1:52" s="90" customFormat="1" ht="15" customHeight="1" x14ac:dyDescent="0.3">
      <c r="A493" s="114">
        <v>482</v>
      </c>
      <c r="B493" s="174" t="s">
        <v>1174</v>
      </c>
      <c r="C493" s="120" t="s">
        <v>959</v>
      </c>
      <c r="D493" s="88"/>
      <c r="E493" s="88"/>
      <c r="F493" s="120" t="s">
        <v>958</v>
      </c>
      <c r="G493" s="25" t="s">
        <v>145</v>
      </c>
      <c r="H493" s="85" t="s">
        <v>146</v>
      </c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116">
        <v>138.9</v>
      </c>
      <c r="V493" s="120">
        <v>165.6</v>
      </c>
      <c r="W493" s="120">
        <v>31.72</v>
      </c>
      <c r="X493" s="120" t="s">
        <v>207</v>
      </c>
      <c r="Y493" s="120">
        <v>24.43</v>
      </c>
      <c r="Z493" s="120" t="s">
        <v>207</v>
      </c>
      <c r="AA493" s="120">
        <v>21.95</v>
      </c>
      <c r="AB493" s="120" t="s">
        <v>207</v>
      </c>
      <c r="AC493" s="120">
        <v>13.07</v>
      </c>
      <c r="AD493" s="120" t="s">
        <v>207</v>
      </c>
      <c r="AE493" s="120">
        <v>4.1900000000000004</v>
      </c>
      <c r="AF493" s="120" t="s">
        <v>207</v>
      </c>
      <c r="AG493" s="120">
        <v>0</v>
      </c>
      <c r="AH493" s="120" t="s">
        <v>207</v>
      </c>
      <c r="AI493" s="120">
        <v>0</v>
      </c>
      <c r="AJ493" s="118" t="s">
        <v>207</v>
      </c>
      <c r="AK493" s="120">
        <v>0</v>
      </c>
      <c r="AL493" s="118" t="s">
        <v>207</v>
      </c>
      <c r="AM493" s="120">
        <v>0.14000000000000001</v>
      </c>
      <c r="AN493" s="118" t="s">
        <v>207</v>
      </c>
      <c r="AO493" s="120">
        <v>12.13</v>
      </c>
      <c r="AP493" s="120" t="s">
        <v>207</v>
      </c>
      <c r="AQ493" s="120">
        <v>13.88</v>
      </c>
      <c r="AR493" s="120" t="s">
        <v>207</v>
      </c>
      <c r="AS493" s="120">
        <v>17.420000000000002</v>
      </c>
      <c r="AT493" s="120" t="s">
        <v>207</v>
      </c>
      <c r="AU493" s="118">
        <f t="shared" si="28"/>
        <v>138.92999999999998</v>
      </c>
      <c r="AV493" s="88"/>
      <c r="AW493" s="88"/>
      <c r="AX493" s="88"/>
      <c r="AY493" s="88"/>
      <c r="AZ493" s="88"/>
    </row>
    <row r="494" spans="1:52" s="90" customFormat="1" ht="15" customHeight="1" x14ac:dyDescent="0.3">
      <c r="A494" s="114">
        <v>483</v>
      </c>
      <c r="B494" s="174" t="s">
        <v>1175</v>
      </c>
      <c r="C494" s="120" t="s">
        <v>959</v>
      </c>
      <c r="D494" s="88"/>
      <c r="E494" s="88"/>
      <c r="F494" s="120" t="s">
        <v>958</v>
      </c>
      <c r="G494" s="25" t="s">
        <v>145</v>
      </c>
      <c r="H494" s="85" t="s">
        <v>146</v>
      </c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116">
        <v>233.04</v>
      </c>
      <c r="V494" s="120">
        <v>276.20999999999998</v>
      </c>
      <c r="W494" s="120">
        <v>33.950000000000003</v>
      </c>
      <c r="X494" s="120" t="s">
        <v>207</v>
      </c>
      <c r="Y494" s="120">
        <v>41.47</v>
      </c>
      <c r="Z494" s="120" t="s">
        <v>207</v>
      </c>
      <c r="AA494" s="120">
        <v>40.82</v>
      </c>
      <c r="AB494" s="120" t="s">
        <v>207</v>
      </c>
      <c r="AC494" s="120">
        <v>26.33</v>
      </c>
      <c r="AD494" s="120" t="s">
        <v>207</v>
      </c>
      <c r="AE494" s="120">
        <v>9.09</v>
      </c>
      <c r="AF494" s="120" t="s">
        <v>207</v>
      </c>
      <c r="AG494" s="120">
        <v>0</v>
      </c>
      <c r="AH494" s="120" t="s">
        <v>207</v>
      </c>
      <c r="AI494" s="120">
        <v>0</v>
      </c>
      <c r="AJ494" s="118" t="s">
        <v>207</v>
      </c>
      <c r="AK494" s="120">
        <v>0</v>
      </c>
      <c r="AL494" s="118" t="s">
        <v>207</v>
      </c>
      <c r="AM494" s="120">
        <v>0</v>
      </c>
      <c r="AN494" s="118" t="s">
        <v>207</v>
      </c>
      <c r="AO494" s="120">
        <v>22.81</v>
      </c>
      <c r="AP494" s="120" t="s">
        <v>207</v>
      </c>
      <c r="AQ494" s="120">
        <v>27.54</v>
      </c>
      <c r="AR494" s="120" t="s">
        <v>207</v>
      </c>
      <c r="AS494" s="120">
        <v>31.03</v>
      </c>
      <c r="AT494" s="120" t="s">
        <v>207</v>
      </c>
      <c r="AU494" s="118">
        <f t="shared" si="28"/>
        <v>233.04</v>
      </c>
      <c r="AV494" s="88"/>
      <c r="AW494" s="88"/>
      <c r="AX494" s="88"/>
      <c r="AY494" s="88"/>
      <c r="AZ494" s="88"/>
    </row>
    <row r="495" spans="1:52" s="90" customFormat="1" ht="15" customHeight="1" x14ac:dyDescent="0.3">
      <c r="A495" s="114">
        <v>484</v>
      </c>
      <c r="B495" s="174" t="s">
        <v>1176</v>
      </c>
      <c r="C495" s="120" t="s">
        <v>959</v>
      </c>
      <c r="D495" s="88"/>
      <c r="E495" s="88"/>
      <c r="F495" s="120" t="s">
        <v>958</v>
      </c>
      <c r="G495" s="25" t="s">
        <v>145</v>
      </c>
      <c r="H495" s="85" t="s">
        <v>146</v>
      </c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116">
        <v>101.21</v>
      </c>
      <c r="V495" s="120">
        <v>93.75</v>
      </c>
      <c r="W495" s="120">
        <v>17.149999999999999</v>
      </c>
      <c r="X495" s="120" t="s">
        <v>207</v>
      </c>
      <c r="Y495" s="120">
        <v>15.77</v>
      </c>
      <c r="Z495" s="120" t="s">
        <v>207</v>
      </c>
      <c r="AA495" s="120">
        <v>17.36</v>
      </c>
      <c r="AB495" s="120" t="s">
        <v>207</v>
      </c>
      <c r="AC495" s="120">
        <v>9.9700000000000006</v>
      </c>
      <c r="AD495" s="120" t="s">
        <v>207</v>
      </c>
      <c r="AE495" s="120">
        <v>4.0599999999999996</v>
      </c>
      <c r="AF495" s="120" t="s">
        <v>207</v>
      </c>
      <c r="AG495" s="120">
        <v>0</v>
      </c>
      <c r="AH495" s="120" t="s">
        <v>207</v>
      </c>
      <c r="AI495" s="120">
        <v>0</v>
      </c>
      <c r="AJ495" s="118" t="s">
        <v>207</v>
      </c>
      <c r="AK495" s="120">
        <v>0</v>
      </c>
      <c r="AL495" s="118" t="s">
        <v>207</v>
      </c>
      <c r="AM495" s="120">
        <v>0</v>
      </c>
      <c r="AN495" s="118" t="s">
        <v>207</v>
      </c>
      <c r="AO495" s="120">
        <v>12.33</v>
      </c>
      <c r="AP495" s="120" t="s">
        <v>207</v>
      </c>
      <c r="AQ495" s="120">
        <v>12.71</v>
      </c>
      <c r="AR495" s="120" t="s">
        <v>207</v>
      </c>
      <c r="AS495" s="120">
        <v>11.86</v>
      </c>
      <c r="AT495" s="120" t="s">
        <v>207</v>
      </c>
      <c r="AU495" s="118">
        <f t="shared" si="28"/>
        <v>101.21</v>
      </c>
      <c r="AV495" s="88"/>
      <c r="AW495" s="88"/>
      <c r="AX495" s="88"/>
      <c r="AY495" s="88"/>
      <c r="AZ495" s="88"/>
    </row>
    <row r="496" spans="1:52" s="90" customFormat="1" ht="15" customHeight="1" x14ac:dyDescent="0.3">
      <c r="A496" s="114">
        <v>485</v>
      </c>
      <c r="B496" s="174" t="s">
        <v>1177</v>
      </c>
      <c r="C496" s="120" t="s">
        <v>959</v>
      </c>
      <c r="D496" s="88"/>
      <c r="E496" s="88"/>
      <c r="F496" s="120" t="s">
        <v>958</v>
      </c>
      <c r="G496" s="25" t="s">
        <v>145</v>
      </c>
      <c r="H496" s="85" t="s">
        <v>146</v>
      </c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116">
        <v>273.54000000000002</v>
      </c>
      <c r="V496" s="120">
        <v>275.75</v>
      </c>
      <c r="W496" s="120">
        <v>52.31</v>
      </c>
      <c r="X496" s="120" t="s">
        <v>207</v>
      </c>
      <c r="Y496" s="120">
        <v>46.99</v>
      </c>
      <c r="Z496" s="120" t="s">
        <v>207</v>
      </c>
      <c r="AA496" s="120">
        <v>46.69</v>
      </c>
      <c r="AB496" s="120" t="s">
        <v>207</v>
      </c>
      <c r="AC496" s="120">
        <v>31.47</v>
      </c>
      <c r="AD496" s="120" t="s">
        <v>207</v>
      </c>
      <c r="AE496" s="120">
        <v>14.77</v>
      </c>
      <c r="AF496" s="120" t="s">
        <v>207</v>
      </c>
      <c r="AG496" s="120">
        <v>0</v>
      </c>
      <c r="AH496" s="120" t="s">
        <v>207</v>
      </c>
      <c r="AI496" s="120">
        <v>0</v>
      </c>
      <c r="AJ496" s="118" t="s">
        <v>207</v>
      </c>
      <c r="AK496" s="120">
        <v>0</v>
      </c>
      <c r="AL496" s="118" t="s">
        <v>207</v>
      </c>
      <c r="AM496" s="120">
        <v>0</v>
      </c>
      <c r="AN496" s="118" t="s">
        <v>207</v>
      </c>
      <c r="AO496" s="120">
        <v>15.43</v>
      </c>
      <c r="AP496" s="120" t="s">
        <v>207</v>
      </c>
      <c r="AQ496" s="120">
        <v>31.67</v>
      </c>
      <c r="AR496" s="120" t="s">
        <v>207</v>
      </c>
      <c r="AS496" s="120">
        <v>34.21</v>
      </c>
      <c r="AT496" s="120" t="s">
        <v>207</v>
      </c>
      <c r="AU496" s="118">
        <f t="shared" si="28"/>
        <v>273.54000000000002</v>
      </c>
      <c r="AV496" s="88"/>
      <c r="AW496" s="88"/>
      <c r="AX496" s="88"/>
      <c r="AY496" s="88"/>
      <c r="AZ496" s="88"/>
    </row>
    <row r="497" spans="1:52" s="90" customFormat="1" ht="15" customHeight="1" x14ac:dyDescent="0.3">
      <c r="A497" s="114">
        <v>486</v>
      </c>
      <c r="B497" s="174" t="s">
        <v>1178</v>
      </c>
      <c r="C497" s="120" t="s">
        <v>959</v>
      </c>
      <c r="D497" s="88"/>
      <c r="E497" s="88"/>
      <c r="F497" s="120" t="s">
        <v>958</v>
      </c>
      <c r="G497" s="25" t="s">
        <v>145</v>
      </c>
      <c r="H497" s="85" t="s">
        <v>146</v>
      </c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116">
        <v>143.54</v>
      </c>
      <c r="V497" s="120">
        <v>175.35</v>
      </c>
      <c r="W497" s="120">
        <v>27.52</v>
      </c>
      <c r="X497" s="120" t="s">
        <v>207</v>
      </c>
      <c r="Y497" s="120">
        <v>30.72</v>
      </c>
      <c r="Z497" s="120" t="s">
        <v>207</v>
      </c>
      <c r="AA497" s="120">
        <v>21.48</v>
      </c>
      <c r="AB497" s="120" t="s">
        <v>207</v>
      </c>
      <c r="AC497" s="120">
        <v>15.03</v>
      </c>
      <c r="AD497" s="120" t="s">
        <v>207</v>
      </c>
      <c r="AE497" s="120">
        <v>7.85</v>
      </c>
      <c r="AF497" s="120" t="s">
        <v>207</v>
      </c>
      <c r="AG497" s="120">
        <v>0</v>
      </c>
      <c r="AH497" s="120" t="s">
        <v>207</v>
      </c>
      <c r="AI497" s="120">
        <v>0</v>
      </c>
      <c r="AJ497" s="118" t="s">
        <v>207</v>
      </c>
      <c r="AK497" s="120">
        <v>0</v>
      </c>
      <c r="AL497" s="118" t="s">
        <v>207</v>
      </c>
      <c r="AM497" s="120">
        <v>1.05</v>
      </c>
      <c r="AN497" s="118" t="s">
        <v>207</v>
      </c>
      <c r="AO497" s="120">
        <v>9.25</v>
      </c>
      <c r="AP497" s="120" t="s">
        <v>207</v>
      </c>
      <c r="AQ497" s="120">
        <v>14.4</v>
      </c>
      <c r="AR497" s="120" t="s">
        <v>207</v>
      </c>
      <c r="AS497" s="120">
        <v>16.239999999999998</v>
      </c>
      <c r="AT497" s="120" t="s">
        <v>207</v>
      </c>
      <c r="AU497" s="118">
        <f t="shared" si="28"/>
        <v>143.54</v>
      </c>
      <c r="AV497" s="88"/>
      <c r="AW497" s="88"/>
      <c r="AX497" s="88"/>
      <c r="AY497" s="88"/>
      <c r="AZ497" s="88"/>
    </row>
    <row r="498" spans="1:52" s="90" customFormat="1" ht="15" customHeight="1" x14ac:dyDescent="0.3">
      <c r="A498" s="114">
        <v>487</v>
      </c>
      <c r="B498" s="174" t="s">
        <v>1179</v>
      </c>
      <c r="C498" s="120" t="s">
        <v>959</v>
      </c>
      <c r="D498" s="88"/>
      <c r="E498" s="88"/>
      <c r="F498" s="120" t="s">
        <v>958</v>
      </c>
      <c r="G498" s="25" t="s">
        <v>145</v>
      </c>
      <c r="H498" s="85" t="s">
        <v>146</v>
      </c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116">
        <v>184.66</v>
      </c>
      <c r="V498" s="120">
        <v>211.36</v>
      </c>
      <c r="W498" s="120">
        <v>33.58</v>
      </c>
      <c r="X498" s="120" t="s">
        <v>207</v>
      </c>
      <c r="Y498" s="120">
        <v>40.54</v>
      </c>
      <c r="Z498" s="120" t="s">
        <v>207</v>
      </c>
      <c r="AA498" s="120">
        <v>28.39</v>
      </c>
      <c r="AB498" s="120" t="s">
        <v>207</v>
      </c>
      <c r="AC498" s="120">
        <v>22.17</v>
      </c>
      <c r="AD498" s="120" t="s">
        <v>207</v>
      </c>
      <c r="AE498" s="120">
        <v>6.29</v>
      </c>
      <c r="AF498" s="120" t="s">
        <v>207</v>
      </c>
      <c r="AG498" s="120">
        <v>0</v>
      </c>
      <c r="AH498" s="120" t="s">
        <v>207</v>
      </c>
      <c r="AI498" s="120">
        <v>0</v>
      </c>
      <c r="AJ498" s="118" t="s">
        <v>207</v>
      </c>
      <c r="AK498" s="120">
        <v>0</v>
      </c>
      <c r="AL498" s="118" t="s">
        <v>207</v>
      </c>
      <c r="AM498" s="120">
        <v>0.44</v>
      </c>
      <c r="AN498" s="118" t="s">
        <v>207</v>
      </c>
      <c r="AO498" s="120">
        <v>8.23</v>
      </c>
      <c r="AP498" s="120" t="s">
        <v>207</v>
      </c>
      <c r="AQ498" s="120">
        <v>21.11</v>
      </c>
      <c r="AR498" s="120" t="s">
        <v>207</v>
      </c>
      <c r="AS498" s="120">
        <v>23.91</v>
      </c>
      <c r="AT498" s="120" t="s">
        <v>207</v>
      </c>
      <c r="AU498" s="118">
        <f t="shared" si="28"/>
        <v>184.66</v>
      </c>
      <c r="AV498" s="88"/>
      <c r="AW498" s="88"/>
      <c r="AX498" s="88"/>
      <c r="AY498" s="88"/>
      <c r="AZ498" s="88"/>
    </row>
    <row r="499" spans="1:52" s="90" customFormat="1" ht="15" customHeight="1" x14ac:dyDescent="0.3">
      <c r="A499" s="114">
        <v>488</v>
      </c>
      <c r="B499" s="174" t="s">
        <v>1180</v>
      </c>
      <c r="C499" s="120" t="s">
        <v>959</v>
      </c>
      <c r="D499" s="88"/>
      <c r="E499" s="88"/>
      <c r="F499" s="120" t="s">
        <v>958</v>
      </c>
      <c r="G499" s="25" t="s">
        <v>145</v>
      </c>
      <c r="H499" s="85" t="s">
        <v>146</v>
      </c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116">
        <v>161.74</v>
      </c>
      <c r="V499" s="120">
        <v>202.5</v>
      </c>
      <c r="W499" s="120">
        <v>33.64</v>
      </c>
      <c r="X499" s="120" t="s">
        <v>207</v>
      </c>
      <c r="Y499" s="120">
        <v>34.15</v>
      </c>
      <c r="Z499" s="120" t="s">
        <v>207</v>
      </c>
      <c r="AA499" s="120">
        <v>29.18</v>
      </c>
      <c r="AB499" s="120" t="s">
        <v>207</v>
      </c>
      <c r="AC499" s="120">
        <v>0</v>
      </c>
      <c r="AD499" s="120" t="s">
        <v>207</v>
      </c>
      <c r="AE499" s="120">
        <v>0</v>
      </c>
      <c r="AF499" s="120" t="s">
        <v>207</v>
      </c>
      <c r="AG499" s="120">
        <v>0</v>
      </c>
      <c r="AH499" s="120" t="s">
        <v>207</v>
      </c>
      <c r="AI499" s="120">
        <v>0</v>
      </c>
      <c r="AJ499" s="118" t="s">
        <v>207</v>
      </c>
      <c r="AK499" s="120">
        <v>7.09</v>
      </c>
      <c r="AL499" s="118" t="s">
        <v>207</v>
      </c>
      <c r="AM499" s="120">
        <v>0.15</v>
      </c>
      <c r="AN499" s="118" t="s">
        <v>207</v>
      </c>
      <c r="AO499" s="120">
        <v>17</v>
      </c>
      <c r="AP499" s="120" t="s">
        <v>207</v>
      </c>
      <c r="AQ499" s="120">
        <v>19.2</v>
      </c>
      <c r="AR499" s="120" t="s">
        <v>207</v>
      </c>
      <c r="AS499" s="120">
        <v>21.33</v>
      </c>
      <c r="AT499" s="120" t="s">
        <v>207</v>
      </c>
      <c r="AU499" s="118">
        <f t="shared" si="28"/>
        <v>161.74</v>
      </c>
      <c r="AV499" s="88"/>
      <c r="AW499" s="88"/>
      <c r="AX499" s="88"/>
      <c r="AY499" s="88"/>
      <c r="AZ499" s="88"/>
    </row>
    <row r="500" spans="1:52" s="90" customFormat="1" ht="15" customHeight="1" x14ac:dyDescent="0.3">
      <c r="A500" s="114">
        <v>489</v>
      </c>
      <c r="B500" s="174" t="s">
        <v>1181</v>
      </c>
      <c r="C500" s="120" t="s">
        <v>959</v>
      </c>
      <c r="D500" s="88"/>
      <c r="E500" s="88"/>
      <c r="F500" s="120" t="s">
        <v>958</v>
      </c>
      <c r="G500" s="25" t="s">
        <v>145</v>
      </c>
      <c r="H500" s="85" t="s">
        <v>146</v>
      </c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116">
        <v>1790.08</v>
      </c>
      <c r="V500" s="120">
        <v>2236.44</v>
      </c>
      <c r="W500" s="120">
        <v>205.33</v>
      </c>
      <c r="X500" s="120" t="s">
        <v>207</v>
      </c>
      <c r="Y500" s="120">
        <v>203.97</v>
      </c>
      <c r="Z500" s="120" t="s">
        <v>207</v>
      </c>
      <c r="AA500" s="120">
        <v>385.89</v>
      </c>
      <c r="AB500" s="120" t="s">
        <v>207</v>
      </c>
      <c r="AC500" s="120">
        <v>192.72</v>
      </c>
      <c r="AD500" s="120" t="s">
        <v>207</v>
      </c>
      <c r="AE500" s="120">
        <v>86.98</v>
      </c>
      <c r="AF500" s="120" t="s">
        <v>207</v>
      </c>
      <c r="AG500" s="120">
        <v>21.9</v>
      </c>
      <c r="AH500" s="120" t="s">
        <v>207</v>
      </c>
      <c r="AI500" s="120">
        <v>25.19</v>
      </c>
      <c r="AJ500" s="118" t="s">
        <v>207</v>
      </c>
      <c r="AK500" s="120">
        <v>25.38</v>
      </c>
      <c r="AL500" s="118" t="s">
        <v>207</v>
      </c>
      <c r="AM500" s="120">
        <v>82.33</v>
      </c>
      <c r="AN500" s="118" t="s">
        <v>207</v>
      </c>
      <c r="AO500" s="120">
        <v>74.7</v>
      </c>
      <c r="AP500" s="120" t="s">
        <v>207</v>
      </c>
      <c r="AQ500" s="120">
        <v>214</v>
      </c>
      <c r="AR500" s="120" t="s">
        <v>207</v>
      </c>
      <c r="AS500" s="120">
        <v>285.3</v>
      </c>
      <c r="AT500" s="120" t="s">
        <v>207</v>
      </c>
      <c r="AU500" s="118">
        <f t="shared" si="28"/>
        <v>1803.6900000000003</v>
      </c>
      <c r="AV500" s="88"/>
      <c r="AW500" s="88"/>
      <c r="AX500" s="88"/>
      <c r="AY500" s="88"/>
      <c r="AZ500" s="88"/>
    </row>
    <row r="501" spans="1:52" s="90" customFormat="1" ht="15" customHeight="1" x14ac:dyDescent="0.3">
      <c r="A501" s="114">
        <v>490</v>
      </c>
      <c r="B501" s="174" t="s">
        <v>1182</v>
      </c>
      <c r="C501" s="120" t="s">
        <v>959</v>
      </c>
      <c r="D501" s="88"/>
      <c r="E501" s="88"/>
      <c r="F501" s="120" t="s">
        <v>958</v>
      </c>
      <c r="G501" s="25" t="s">
        <v>145</v>
      </c>
      <c r="H501" s="85" t="s">
        <v>146</v>
      </c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116">
        <v>287.88</v>
      </c>
      <c r="V501" s="120">
        <v>359.87</v>
      </c>
      <c r="W501" s="120">
        <v>53.38</v>
      </c>
      <c r="X501" s="120" t="s">
        <v>207</v>
      </c>
      <c r="Y501" s="120">
        <v>57.84</v>
      </c>
      <c r="Z501" s="120" t="s">
        <v>207</v>
      </c>
      <c r="AA501" s="120">
        <v>56.35</v>
      </c>
      <c r="AB501" s="120" t="s">
        <v>207</v>
      </c>
      <c r="AC501" s="120">
        <v>43.26</v>
      </c>
      <c r="AD501" s="120" t="s">
        <v>207</v>
      </c>
      <c r="AE501" s="120">
        <v>25.89</v>
      </c>
      <c r="AF501" s="120" t="s">
        <v>207</v>
      </c>
      <c r="AG501" s="120">
        <v>7.73</v>
      </c>
      <c r="AH501" s="120" t="s">
        <v>207</v>
      </c>
      <c r="AI501" s="120">
        <v>6.49</v>
      </c>
      <c r="AJ501" s="118" t="s">
        <v>207</v>
      </c>
      <c r="AK501" s="120">
        <v>9.3800000000000008</v>
      </c>
      <c r="AL501" s="118" t="s">
        <v>207</v>
      </c>
      <c r="AM501" s="120">
        <v>7.84</v>
      </c>
      <c r="AN501" s="118" t="s">
        <v>207</v>
      </c>
      <c r="AO501" s="120">
        <v>32.36</v>
      </c>
      <c r="AP501" s="120" t="s">
        <v>207</v>
      </c>
      <c r="AQ501" s="120">
        <v>42.44</v>
      </c>
      <c r="AR501" s="120" t="s">
        <v>207</v>
      </c>
      <c r="AS501" s="120">
        <v>43.2</v>
      </c>
      <c r="AT501" s="120" t="s">
        <v>207</v>
      </c>
      <c r="AU501" s="118">
        <f t="shared" si="28"/>
        <v>386.15999999999997</v>
      </c>
      <c r="AV501" s="88"/>
      <c r="AW501" s="88"/>
      <c r="AX501" s="88"/>
      <c r="AY501" s="88"/>
      <c r="AZ501" s="88"/>
    </row>
    <row r="502" spans="1:52" s="90" customFormat="1" ht="15" customHeight="1" x14ac:dyDescent="0.3">
      <c r="A502" s="114">
        <v>491</v>
      </c>
      <c r="B502" s="174" t="s">
        <v>1183</v>
      </c>
      <c r="C502" s="120" t="s">
        <v>959</v>
      </c>
      <c r="D502" s="88"/>
      <c r="E502" s="88"/>
      <c r="F502" s="120" t="s">
        <v>958</v>
      </c>
      <c r="G502" s="25" t="s">
        <v>145</v>
      </c>
      <c r="H502" s="85" t="s">
        <v>146</v>
      </c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116"/>
      <c r="V502" s="120"/>
      <c r="W502" s="120"/>
      <c r="X502" s="120" t="s">
        <v>207</v>
      </c>
      <c r="Y502" s="120"/>
      <c r="Z502" s="120" t="s">
        <v>207</v>
      </c>
      <c r="AA502" s="120"/>
      <c r="AB502" s="120" t="s">
        <v>207</v>
      </c>
      <c r="AC502" s="120"/>
      <c r="AD502" s="120" t="s">
        <v>207</v>
      </c>
      <c r="AE502" s="120"/>
      <c r="AF502" s="120" t="s">
        <v>207</v>
      </c>
      <c r="AG502" s="120"/>
      <c r="AH502" s="120" t="s">
        <v>207</v>
      </c>
      <c r="AI502" s="120"/>
      <c r="AJ502" s="118" t="s">
        <v>207</v>
      </c>
      <c r="AK502" s="120"/>
      <c r="AL502" s="118" t="s">
        <v>207</v>
      </c>
      <c r="AM502" s="120"/>
      <c r="AN502" s="118" t="s">
        <v>207</v>
      </c>
      <c r="AO502" s="120"/>
      <c r="AP502" s="120" t="s">
        <v>207</v>
      </c>
      <c r="AQ502" s="120"/>
      <c r="AR502" s="120" t="s">
        <v>207</v>
      </c>
      <c r="AS502" s="120"/>
      <c r="AT502" s="120" t="s">
        <v>207</v>
      </c>
      <c r="AU502" s="118">
        <f t="shared" si="28"/>
        <v>0</v>
      </c>
      <c r="AV502" s="88"/>
      <c r="AW502" s="88"/>
      <c r="AX502" s="88"/>
      <c r="AY502" s="88"/>
      <c r="AZ502" s="88"/>
    </row>
    <row r="503" spans="1:52" s="90" customFormat="1" ht="15" customHeight="1" x14ac:dyDescent="0.3">
      <c r="A503" s="114">
        <v>492</v>
      </c>
      <c r="B503" s="174" t="s">
        <v>1184</v>
      </c>
      <c r="C503" s="120" t="s">
        <v>959</v>
      </c>
      <c r="D503" s="88"/>
      <c r="E503" s="88"/>
      <c r="F503" s="120" t="s">
        <v>958</v>
      </c>
      <c r="G503" s="25" t="s">
        <v>145</v>
      </c>
      <c r="H503" s="85" t="s">
        <v>146</v>
      </c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116"/>
      <c r="V503" s="120"/>
      <c r="W503" s="120"/>
      <c r="X503" s="120" t="s">
        <v>207</v>
      </c>
      <c r="Y503" s="120"/>
      <c r="Z503" s="120" t="s">
        <v>207</v>
      </c>
      <c r="AA503" s="120"/>
      <c r="AB503" s="120" t="s">
        <v>207</v>
      </c>
      <c r="AC503" s="120"/>
      <c r="AD503" s="120" t="s">
        <v>207</v>
      </c>
      <c r="AE503" s="120"/>
      <c r="AF503" s="120" t="s">
        <v>207</v>
      </c>
      <c r="AG503" s="120"/>
      <c r="AH503" s="120" t="s">
        <v>207</v>
      </c>
      <c r="AI503" s="120"/>
      <c r="AJ503" s="118" t="s">
        <v>207</v>
      </c>
      <c r="AK503" s="120"/>
      <c r="AL503" s="118" t="s">
        <v>207</v>
      </c>
      <c r="AM503" s="120"/>
      <c r="AN503" s="118" t="s">
        <v>207</v>
      </c>
      <c r="AO503" s="120"/>
      <c r="AP503" s="120" t="s">
        <v>207</v>
      </c>
      <c r="AQ503" s="120"/>
      <c r="AR503" s="120" t="s">
        <v>207</v>
      </c>
      <c r="AS503" s="120"/>
      <c r="AT503" s="120" t="s">
        <v>207</v>
      </c>
      <c r="AU503" s="118">
        <f t="shared" si="28"/>
        <v>0</v>
      </c>
      <c r="AV503" s="88"/>
      <c r="AW503" s="88"/>
      <c r="AX503" s="88"/>
      <c r="AY503" s="88"/>
      <c r="AZ503" s="88"/>
    </row>
    <row r="504" spans="1:52" s="90" customFormat="1" ht="15" customHeight="1" x14ac:dyDescent="0.3">
      <c r="A504" s="114">
        <v>493</v>
      </c>
      <c r="B504" s="174" t="s">
        <v>1185</v>
      </c>
      <c r="C504" s="120" t="s">
        <v>959</v>
      </c>
      <c r="D504" s="88"/>
      <c r="E504" s="88"/>
      <c r="F504" s="120" t="s">
        <v>958</v>
      </c>
      <c r="G504" s="25" t="s">
        <v>145</v>
      </c>
      <c r="H504" s="85" t="s">
        <v>146</v>
      </c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116">
        <v>405.16</v>
      </c>
      <c r="V504" s="120">
        <v>495.38</v>
      </c>
      <c r="W504" s="120">
        <v>93.57</v>
      </c>
      <c r="X504" s="120" t="s">
        <v>207</v>
      </c>
      <c r="Y504" s="120">
        <v>78.41</v>
      </c>
      <c r="Z504" s="120" t="s">
        <v>207</v>
      </c>
      <c r="AA504" s="120">
        <v>69.97</v>
      </c>
      <c r="AB504" s="120" t="s">
        <v>207</v>
      </c>
      <c r="AC504" s="120">
        <v>43.85</v>
      </c>
      <c r="AD504" s="120" t="s">
        <v>207</v>
      </c>
      <c r="AE504" s="120">
        <v>12.85</v>
      </c>
      <c r="AF504" s="120" t="s">
        <v>207</v>
      </c>
      <c r="AG504" s="120">
        <v>0</v>
      </c>
      <c r="AH504" s="120" t="s">
        <v>207</v>
      </c>
      <c r="AI504" s="120">
        <v>0</v>
      </c>
      <c r="AJ504" s="118" t="s">
        <v>207</v>
      </c>
      <c r="AK504" s="120">
        <v>0</v>
      </c>
      <c r="AL504" s="118" t="s">
        <v>207</v>
      </c>
      <c r="AM504" s="120">
        <v>2.37</v>
      </c>
      <c r="AN504" s="118" t="s">
        <v>207</v>
      </c>
      <c r="AO504" s="120">
        <v>0</v>
      </c>
      <c r="AP504" s="120" t="s">
        <v>207</v>
      </c>
      <c r="AQ504" s="120">
        <v>48.08</v>
      </c>
      <c r="AR504" s="120" t="s">
        <v>207</v>
      </c>
      <c r="AS504" s="120">
        <v>56.06</v>
      </c>
      <c r="AT504" s="120" t="s">
        <v>207</v>
      </c>
      <c r="AU504" s="118">
        <f t="shared" si="28"/>
        <v>405.16</v>
      </c>
      <c r="AV504" s="88"/>
      <c r="AW504" s="88"/>
      <c r="AX504" s="88"/>
      <c r="AY504" s="88"/>
      <c r="AZ504" s="88"/>
    </row>
    <row r="505" spans="1:52" s="90" customFormat="1" ht="15" customHeight="1" x14ac:dyDescent="0.3">
      <c r="A505" s="114">
        <v>494</v>
      </c>
      <c r="B505" s="174" t="s">
        <v>1186</v>
      </c>
      <c r="C505" s="120" t="s">
        <v>959</v>
      </c>
      <c r="D505" s="88"/>
      <c r="E505" s="88"/>
      <c r="F505" s="120" t="s">
        <v>958</v>
      </c>
      <c r="G505" s="25" t="s">
        <v>145</v>
      </c>
      <c r="H505" s="85" t="s">
        <v>146</v>
      </c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116">
        <v>98.3</v>
      </c>
      <c r="V505" s="120">
        <v>111.05</v>
      </c>
      <c r="W505" s="120">
        <v>20.97</v>
      </c>
      <c r="X505" s="120" t="s">
        <v>207</v>
      </c>
      <c r="Y505" s="120">
        <v>17.57</v>
      </c>
      <c r="Z505" s="120" t="s">
        <v>207</v>
      </c>
      <c r="AA505" s="120">
        <v>15.69</v>
      </c>
      <c r="AB505" s="120" t="s">
        <v>207</v>
      </c>
      <c r="AC505" s="120">
        <v>9.83</v>
      </c>
      <c r="AD505" s="120" t="s">
        <v>207</v>
      </c>
      <c r="AE505" s="120">
        <v>2.88</v>
      </c>
      <c r="AF505" s="120" t="s">
        <v>207</v>
      </c>
      <c r="AG505" s="120">
        <v>0</v>
      </c>
      <c r="AH505" s="120" t="s">
        <v>207</v>
      </c>
      <c r="AI505" s="120">
        <v>0</v>
      </c>
      <c r="AJ505" s="118" t="s">
        <v>207</v>
      </c>
      <c r="AK505" s="120">
        <v>0</v>
      </c>
      <c r="AL505" s="118" t="s">
        <v>207</v>
      </c>
      <c r="AM505" s="120">
        <v>0.54</v>
      </c>
      <c r="AN505" s="118" t="s">
        <v>207</v>
      </c>
      <c r="AO505" s="120">
        <v>7.97</v>
      </c>
      <c r="AP505" s="120" t="s">
        <v>207</v>
      </c>
      <c r="AQ505" s="120">
        <v>10.77</v>
      </c>
      <c r="AR505" s="120" t="s">
        <v>207</v>
      </c>
      <c r="AS505" s="120">
        <v>12.08</v>
      </c>
      <c r="AT505" s="120" t="s">
        <v>207</v>
      </c>
      <c r="AU505" s="118">
        <f t="shared" si="28"/>
        <v>98.3</v>
      </c>
      <c r="AV505" s="88"/>
      <c r="AW505" s="88"/>
      <c r="AX505" s="88"/>
      <c r="AY505" s="88"/>
      <c r="AZ505" s="88"/>
    </row>
    <row r="506" spans="1:52" s="90" customFormat="1" ht="15" customHeight="1" x14ac:dyDescent="0.3">
      <c r="A506" s="114">
        <v>495</v>
      </c>
      <c r="B506" s="174" t="s">
        <v>1187</v>
      </c>
      <c r="C506" s="120" t="s">
        <v>959</v>
      </c>
      <c r="D506" s="88"/>
      <c r="E506" s="88"/>
      <c r="F506" s="120" t="s">
        <v>958</v>
      </c>
      <c r="G506" s="25" t="s">
        <v>145</v>
      </c>
      <c r="H506" s="85" t="s">
        <v>146</v>
      </c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116">
        <v>58.98</v>
      </c>
      <c r="V506" s="120">
        <v>66.62</v>
      </c>
      <c r="W506" s="120">
        <v>12.59</v>
      </c>
      <c r="X506" s="120" t="s">
        <v>207</v>
      </c>
      <c r="Y506" s="120">
        <v>10.54</v>
      </c>
      <c r="Z506" s="120" t="s">
        <v>207</v>
      </c>
      <c r="AA506" s="120">
        <v>9.41</v>
      </c>
      <c r="AB506" s="120" t="s">
        <v>207</v>
      </c>
      <c r="AC506" s="120">
        <v>5.9</v>
      </c>
      <c r="AD506" s="120" t="s">
        <v>207</v>
      </c>
      <c r="AE506" s="120">
        <v>1.73</v>
      </c>
      <c r="AF506" s="120" t="s">
        <v>207</v>
      </c>
      <c r="AG506" s="120">
        <v>0</v>
      </c>
      <c r="AH506" s="120" t="s">
        <v>207</v>
      </c>
      <c r="AI506" s="120">
        <v>0</v>
      </c>
      <c r="AJ506" s="118" t="s">
        <v>207</v>
      </c>
      <c r="AK506" s="120">
        <v>0</v>
      </c>
      <c r="AL506" s="118" t="s">
        <v>207</v>
      </c>
      <c r="AM506" s="120">
        <v>0.31</v>
      </c>
      <c r="AN506" s="118" t="s">
        <v>207</v>
      </c>
      <c r="AO506" s="120">
        <v>4.79</v>
      </c>
      <c r="AP506" s="120" t="s">
        <v>207</v>
      </c>
      <c r="AQ506" s="120">
        <v>6.46</v>
      </c>
      <c r="AR506" s="120" t="s">
        <v>207</v>
      </c>
      <c r="AS506" s="120">
        <v>7.25</v>
      </c>
      <c r="AT506" s="120" t="s">
        <v>207</v>
      </c>
      <c r="AU506" s="118">
        <f t="shared" si="28"/>
        <v>58.98</v>
      </c>
      <c r="AV506" s="88"/>
      <c r="AW506" s="88"/>
      <c r="AX506" s="88"/>
      <c r="AY506" s="88"/>
      <c r="AZ506" s="88"/>
    </row>
    <row r="507" spans="1:52" s="90" customFormat="1" ht="15" customHeight="1" x14ac:dyDescent="0.3">
      <c r="A507" s="114">
        <v>496</v>
      </c>
      <c r="B507" s="174" t="s">
        <v>1188</v>
      </c>
      <c r="C507" s="120" t="s">
        <v>804</v>
      </c>
      <c r="D507" s="88"/>
      <c r="E507" s="88"/>
      <c r="F507" s="120" t="s">
        <v>958</v>
      </c>
      <c r="G507" s="25" t="s">
        <v>145</v>
      </c>
      <c r="H507" s="85" t="s">
        <v>146</v>
      </c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116">
        <v>516.29</v>
      </c>
      <c r="V507" s="120">
        <v>127.52</v>
      </c>
      <c r="W507" s="120">
        <v>21.34</v>
      </c>
      <c r="X507" s="120" t="s">
        <v>207</v>
      </c>
      <c r="Y507" s="120">
        <v>20.93</v>
      </c>
      <c r="Z507" s="120" t="s">
        <v>207</v>
      </c>
      <c r="AA507" s="120">
        <v>21.34</v>
      </c>
      <c r="AB507" s="120" t="s">
        <v>207</v>
      </c>
      <c r="AC507" s="120">
        <v>21.34</v>
      </c>
      <c r="AD507" s="120" t="s">
        <v>207</v>
      </c>
      <c r="AE507" s="120">
        <v>21.34</v>
      </c>
      <c r="AF507" s="120" t="s">
        <v>207</v>
      </c>
      <c r="AG507" s="120">
        <v>0</v>
      </c>
      <c r="AH507" s="120" t="s">
        <v>207</v>
      </c>
      <c r="AI507" s="120">
        <v>0</v>
      </c>
      <c r="AJ507" s="118" t="s">
        <v>207</v>
      </c>
      <c r="AK507" s="120">
        <v>0</v>
      </c>
      <c r="AL507" s="118" t="s">
        <v>207</v>
      </c>
      <c r="AM507" s="120">
        <v>1.06</v>
      </c>
      <c r="AN507" s="118" t="s">
        <v>207</v>
      </c>
      <c r="AO507" s="120">
        <v>18.989999999999998</v>
      </c>
      <c r="AP507" s="120" t="s">
        <v>207</v>
      </c>
      <c r="AQ507" s="120">
        <v>15.2</v>
      </c>
      <c r="AR507" s="120" t="s">
        <v>207</v>
      </c>
      <c r="AS507" s="120">
        <v>20.100000000000001</v>
      </c>
      <c r="AT507" s="120" t="s">
        <v>207</v>
      </c>
      <c r="AU507" s="118">
        <f t="shared" si="28"/>
        <v>161.63999999999999</v>
      </c>
      <c r="AV507" s="88"/>
      <c r="AW507" s="88"/>
      <c r="AX507" s="88"/>
      <c r="AY507" s="88"/>
      <c r="AZ507" s="88"/>
    </row>
    <row r="508" spans="1:52" s="90" customFormat="1" ht="15" customHeight="1" x14ac:dyDescent="0.3">
      <c r="A508" s="114">
        <v>497</v>
      </c>
      <c r="B508" s="174" t="s">
        <v>1189</v>
      </c>
      <c r="C508" s="120" t="s">
        <v>804</v>
      </c>
      <c r="D508" s="88"/>
      <c r="E508" s="88"/>
      <c r="F508" s="120" t="s">
        <v>958</v>
      </c>
      <c r="G508" s="25" t="s">
        <v>145</v>
      </c>
      <c r="H508" s="85" t="s">
        <v>146</v>
      </c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116">
        <v>479</v>
      </c>
      <c r="V508" s="120">
        <v>596.20000000000005</v>
      </c>
      <c r="W508" s="120">
        <v>94.36</v>
      </c>
      <c r="X508" s="120" t="s">
        <v>207</v>
      </c>
      <c r="Y508" s="120">
        <v>82</v>
      </c>
      <c r="Z508" s="120" t="s">
        <v>207</v>
      </c>
      <c r="AA508" s="120">
        <v>108.8</v>
      </c>
      <c r="AB508" s="120" t="s">
        <v>207</v>
      </c>
      <c r="AC508" s="120">
        <v>53.7</v>
      </c>
      <c r="AD508" s="120" t="s">
        <v>207</v>
      </c>
      <c r="AE508" s="120">
        <v>11.2</v>
      </c>
      <c r="AF508" s="120" t="s">
        <v>207</v>
      </c>
      <c r="AG508" s="120">
        <v>0</v>
      </c>
      <c r="AH508" s="120" t="s">
        <v>207</v>
      </c>
      <c r="AI508" s="120">
        <v>0</v>
      </c>
      <c r="AJ508" s="118" t="s">
        <v>207</v>
      </c>
      <c r="AK508" s="120">
        <v>0</v>
      </c>
      <c r="AL508" s="118" t="s">
        <v>207</v>
      </c>
      <c r="AM508" s="120">
        <v>1.1299999999999999</v>
      </c>
      <c r="AN508" s="118" t="s">
        <v>207</v>
      </c>
      <c r="AO508" s="120">
        <v>75.2</v>
      </c>
      <c r="AP508" s="120" t="s">
        <v>207</v>
      </c>
      <c r="AQ508" s="120">
        <v>64.7</v>
      </c>
      <c r="AR508" s="120" t="s">
        <v>207</v>
      </c>
      <c r="AS508" s="120">
        <v>77.2</v>
      </c>
      <c r="AT508" s="120" t="s">
        <v>207</v>
      </c>
      <c r="AU508" s="118">
        <f t="shared" si="28"/>
        <v>568.29</v>
      </c>
      <c r="AV508" s="88"/>
      <c r="AW508" s="88"/>
      <c r="AX508" s="88"/>
      <c r="AY508" s="88"/>
      <c r="AZ508" s="88"/>
    </row>
    <row r="509" spans="1:52" s="90" customFormat="1" ht="15" customHeight="1" x14ac:dyDescent="0.3">
      <c r="A509" s="114">
        <v>498</v>
      </c>
      <c r="B509" s="174" t="s">
        <v>1190</v>
      </c>
      <c r="C509" s="120" t="s">
        <v>959</v>
      </c>
      <c r="D509" s="88"/>
      <c r="E509" s="88"/>
      <c r="F509" s="120" t="s">
        <v>958</v>
      </c>
      <c r="G509" s="25" t="s">
        <v>145</v>
      </c>
      <c r="H509" s="85" t="s">
        <v>146</v>
      </c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116">
        <v>414.98</v>
      </c>
      <c r="V509" s="120">
        <v>468.9</v>
      </c>
      <c r="W509" s="120">
        <v>88.55</v>
      </c>
      <c r="X509" s="120" t="s">
        <v>207</v>
      </c>
      <c r="Y509" s="120">
        <v>74.2</v>
      </c>
      <c r="Z509" s="120" t="s">
        <v>207</v>
      </c>
      <c r="AA509" s="120">
        <v>66.239999999999995</v>
      </c>
      <c r="AB509" s="120" t="s">
        <v>207</v>
      </c>
      <c r="AC509" s="120">
        <v>41.48</v>
      </c>
      <c r="AD509" s="120" t="s">
        <v>207</v>
      </c>
      <c r="AE509" s="120">
        <v>12.15</v>
      </c>
      <c r="AF509" s="120" t="s">
        <v>207</v>
      </c>
      <c r="AG509" s="120">
        <v>0</v>
      </c>
      <c r="AH509" s="120" t="s">
        <v>207</v>
      </c>
      <c r="AI509" s="120">
        <v>0</v>
      </c>
      <c r="AJ509" s="118" t="s">
        <v>207</v>
      </c>
      <c r="AK509" s="120">
        <v>0</v>
      </c>
      <c r="AL509" s="118" t="s">
        <v>207</v>
      </c>
      <c r="AM509" s="120">
        <v>2.25</v>
      </c>
      <c r="AN509" s="118" t="s">
        <v>207</v>
      </c>
      <c r="AO509" s="120">
        <v>3.65</v>
      </c>
      <c r="AP509" s="120" t="s">
        <v>207</v>
      </c>
      <c r="AQ509" s="120">
        <v>45.47</v>
      </c>
      <c r="AR509" s="120" t="s">
        <v>207</v>
      </c>
      <c r="AS509" s="120">
        <v>50.99</v>
      </c>
      <c r="AT509" s="120" t="s">
        <v>207</v>
      </c>
      <c r="AU509" s="118">
        <f t="shared" ref="AU509:AU572" si="29">SUM(W509,Y509,AA509,AC509,AE509,AG509,AI509,AW509,AK509,AM509,AO509,AQ509,AS509)</f>
        <v>384.98</v>
      </c>
      <c r="AV509" s="88"/>
      <c r="AW509" s="88"/>
      <c r="AX509" s="88"/>
      <c r="AY509" s="88"/>
      <c r="AZ509" s="88"/>
    </row>
    <row r="510" spans="1:52" s="90" customFormat="1" ht="15" customHeight="1" x14ac:dyDescent="0.3">
      <c r="A510" s="114">
        <v>499</v>
      </c>
      <c r="B510" s="174" t="s">
        <v>1191</v>
      </c>
      <c r="C510" s="120" t="s">
        <v>804</v>
      </c>
      <c r="D510" s="88"/>
      <c r="E510" s="88"/>
      <c r="F510" s="120" t="s">
        <v>958</v>
      </c>
      <c r="G510" s="25" t="s">
        <v>145</v>
      </c>
      <c r="H510" s="85" t="s">
        <v>146</v>
      </c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116">
        <v>201.65</v>
      </c>
      <c r="V510" s="120">
        <v>216.57</v>
      </c>
      <c r="W510" s="120">
        <v>25.54</v>
      </c>
      <c r="X510" s="120" t="s">
        <v>207</v>
      </c>
      <c r="Y510" s="120">
        <v>25.05</v>
      </c>
      <c r="Z510" s="120" t="s">
        <v>207</v>
      </c>
      <c r="AA510" s="120">
        <v>25.54</v>
      </c>
      <c r="AB510" s="120" t="s">
        <v>207</v>
      </c>
      <c r="AC510" s="120">
        <v>25.54</v>
      </c>
      <c r="AD510" s="120" t="s">
        <v>207</v>
      </c>
      <c r="AE510" s="120">
        <v>25.54</v>
      </c>
      <c r="AF510" s="120" t="s">
        <v>207</v>
      </c>
      <c r="AG510" s="120">
        <v>0</v>
      </c>
      <c r="AH510" s="120" t="s">
        <v>207</v>
      </c>
      <c r="AI510" s="120">
        <v>0</v>
      </c>
      <c r="AJ510" s="118" t="s">
        <v>207</v>
      </c>
      <c r="AK510" s="120">
        <v>0</v>
      </c>
      <c r="AL510" s="118" t="s">
        <v>207</v>
      </c>
      <c r="AM510" s="120">
        <v>1.08</v>
      </c>
      <c r="AN510" s="118" t="s">
        <v>207</v>
      </c>
      <c r="AO510" s="120">
        <v>22.02</v>
      </c>
      <c r="AP510" s="120" t="s">
        <v>207</v>
      </c>
      <c r="AQ510" s="120">
        <v>25.9</v>
      </c>
      <c r="AR510" s="120" t="s">
        <v>207</v>
      </c>
      <c r="AS510" s="120">
        <v>34.1</v>
      </c>
      <c r="AT510" s="120" t="s">
        <v>207</v>
      </c>
      <c r="AU510" s="118">
        <f t="shared" si="29"/>
        <v>210.31</v>
      </c>
      <c r="AV510" s="88"/>
      <c r="AW510" s="88"/>
      <c r="AX510" s="88"/>
      <c r="AY510" s="88"/>
      <c r="AZ510" s="88"/>
    </row>
    <row r="511" spans="1:52" s="90" customFormat="1" ht="15" customHeight="1" x14ac:dyDescent="0.3">
      <c r="A511" s="114">
        <v>500</v>
      </c>
      <c r="B511" s="174" t="s">
        <v>1192</v>
      </c>
      <c r="C511" s="120" t="s">
        <v>804</v>
      </c>
      <c r="D511" s="88"/>
      <c r="E511" s="88"/>
      <c r="F511" s="120" t="s">
        <v>958</v>
      </c>
      <c r="G511" s="25" t="s">
        <v>145</v>
      </c>
      <c r="H511" s="85" t="s">
        <v>146</v>
      </c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116">
        <v>153.75</v>
      </c>
      <c r="V511" s="120">
        <v>179.53</v>
      </c>
      <c r="W511" s="120">
        <v>18.84</v>
      </c>
      <c r="X511" s="120" t="s">
        <v>207</v>
      </c>
      <c r="Y511" s="120">
        <v>18.47</v>
      </c>
      <c r="Z511" s="120" t="s">
        <v>207</v>
      </c>
      <c r="AA511" s="120">
        <v>18.84</v>
      </c>
      <c r="AB511" s="120" t="s">
        <v>207</v>
      </c>
      <c r="AC511" s="120">
        <v>18.84</v>
      </c>
      <c r="AD511" s="120" t="s">
        <v>207</v>
      </c>
      <c r="AE511" s="120">
        <v>18.84</v>
      </c>
      <c r="AF511" s="120" t="s">
        <v>207</v>
      </c>
      <c r="AG511" s="120">
        <v>0</v>
      </c>
      <c r="AH511" s="120" t="s">
        <v>207</v>
      </c>
      <c r="AI511" s="120">
        <v>0</v>
      </c>
      <c r="AJ511" s="118" t="s">
        <v>207</v>
      </c>
      <c r="AK511" s="120">
        <v>0</v>
      </c>
      <c r="AL511" s="118" t="s">
        <v>207</v>
      </c>
      <c r="AM511" s="120">
        <v>1.29</v>
      </c>
      <c r="AN511" s="118" t="s">
        <v>207</v>
      </c>
      <c r="AO511" s="120">
        <v>16.86</v>
      </c>
      <c r="AP511" s="120" t="s">
        <v>207</v>
      </c>
      <c r="AQ511" s="120">
        <v>18.5</v>
      </c>
      <c r="AR511" s="120" t="s">
        <v>207</v>
      </c>
      <c r="AS511" s="120">
        <v>24.4</v>
      </c>
      <c r="AT511" s="120" t="s">
        <v>207</v>
      </c>
      <c r="AU511" s="118">
        <f t="shared" si="29"/>
        <v>154.88000000000002</v>
      </c>
      <c r="AV511" s="88"/>
      <c r="AW511" s="88"/>
      <c r="AX511" s="88"/>
      <c r="AY511" s="88"/>
      <c r="AZ511" s="88"/>
    </row>
    <row r="512" spans="1:52" s="90" customFormat="1" ht="15" customHeight="1" x14ac:dyDescent="0.3">
      <c r="A512" s="114">
        <v>501</v>
      </c>
      <c r="B512" s="174" t="s">
        <v>1193</v>
      </c>
      <c r="C512" s="120" t="s">
        <v>804</v>
      </c>
      <c r="D512" s="88"/>
      <c r="E512" s="88"/>
      <c r="F512" s="120" t="s">
        <v>958</v>
      </c>
      <c r="G512" s="25" t="s">
        <v>145</v>
      </c>
      <c r="H512" s="85" t="s">
        <v>146</v>
      </c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116">
        <v>197.58</v>
      </c>
      <c r="V512" s="120">
        <v>333.04</v>
      </c>
      <c r="W512" s="120">
        <v>36.97</v>
      </c>
      <c r="X512" s="120" t="s">
        <v>207</v>
      </c>
      <c r="Y512" s="120">
        <v>27.37</v>
      </c>
      <c r="Z512" s="120" t="s">
        <v>207</v>
      </c>
      <c r="AA512" s="120">
        <v>3.68</v>
      </c>
      <c r="AB512" s="120" t="s">
        <v>207</v>
      </c>
      <c r="AC512" s="120">
        <v>20.37</v>
      </c>
      <c r="AD512" s="120" t="s">
        <v>207</v>
      </c>
      <c r="AE512" s="120">
        <v>6.99</v>
      </c>
      <c r="AF512" s="120" t="s">
        <v>207</v>
      </c>
      <c r="AG512" s="120">
        <v>1.51</v>
      </c>
      <c r="AH512" s="120" t="s">
        <v>207</v>
      </c>
      <c r="AI512" s="120">
        <v>1.63</v>
      </c>
      <c r="AJ512" s="118" t="s">
        <v>207</v>
      </c>
      <c r="AK512" s="120">
        <v>1.37</v>
      </c>
      <c r="AL512" s="118" t="s">
        <v>207</v>
      </c>
      <c r="AM512" s="120">
        <v>2.17</v>
      </c>
      <c r="AN512" s="118" t="s">
        <v>207</v>
      </c>
      <c r="AO512" s="120">
        <v>24.14</v>
      </c>
      <c r="AP512" s="120" t="s">
        <v>207</v>
      </c>
      <c r="AQ512" s="120">
        <v>21.18</v>
      </c>
      <c r="AR512" s="120" t="s">
        <v>207</v>
      </c>
      <c r="AS512" s="120">
        <v>27.91</v>
      </c>
      <c r="AT512" s="120" t="s">
        <v>207</v>
      </c>
      <c r="AU512" s="118">
        <f t="shared" si="29"/>
        <v>175.29000000000002</v>
      </c>
      <c r="AV512" s="88"/>
      <c r="AW512" s="88"/>
      <c r="AX512" s="88"/>
      <c r="AY512" s="88"/>
      <c r="AZ512" s="88"/>
    </row>
    <row r="513" spans="1:52" s="90" customFormat="1" ht="15" customHeight="1" x14ac:dyDescent="0.3">
      <c r="A513" s="114">
        <v>502</v>
      </c>
      <c r="B513" s="174" t="s">
        <v>1194</v>
      </c>
      <c r="C513" s="120" t="s">
        <v>804</v>
      </c>
      <c r="D513" s="88"/>
      <c r="E513" s="88"/>
      <c r="F513" s="120" t="s">
        <v>958</v>
      </c>
      <c r="G513" s="25" t="s">
        <v>145</v>
      </c>
      <c r="H513" s="85" t="s">
        <v>146</v>
      </c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116">
        <v>188.99</v>
      </c>
      <c r="V513" s="120">
        <v>248.92</v>
      </c>
      <c r="W513" s="120">
        <v>35.06</v>
      </c>
      <c r="X513" s="120" t="s">
        <v>207</v>
      </c>
      <c r="Y513" s="120">
        <v>25.87</v>
      </c>
      <c r="Z513" s="120" t="s">
        <v>207</v>
      </c>
      <c r="AA513" s="120">
        <v>31.97</v>
      </c>
      <c r="AB513" s="120" t="s">
        <v>207</v>
      </c>
      <c r="AC513" s="120">
        <v>19.350000000000001</v>
      </c>
      <c r="AD513" s="120" t="s">
        <v>207</v>
      </c>
      <c r="AE513" s="120">
        <v>6.59</v>
      </c>
      <c r="AF513" s="120" t="s">
        <v>207</v>
      </c>
      <c r="AG513" s="120">
        <v>1.98</v>
      </c>
      <c r="AH513" s="120" t="s">
        <v>207</v>
      </c>
      <c r="AI513" s="120">
        <v>2</v>
      </c>
      <c r="AJ513" s="118" t="s">
        <v>207</v>
      </c>
      <c r="AK513" s="120">
        <v>1.86</v>
      </c>
      <c r="AL513" s="118" t="s">
        <v>207</v>
      </c>
      <c r="AM513" s="120">
        <v>2.82</v>
      </c>
      <c r="AN513" s="118" t="s">
        <v>207</v>
      </c>
      <c r="AO513" s="120">
        <v>22.79</v>
      </c>
      <c r="AP513" s="120" t="s">
        <v>207</v>
      </c>
      <c r="AQ513" s="120">
        <v>20.07</v>
      </c>
      <c r="AR513" s="120" t="s">
        <v>207</v>
      </c>
      <c r="AS513" s="120">
        <v>26.27</v>
      </c>
      <c r="AT513" s="120" t="s">
        <v>207</v>
      </c>
      <c r="AU513" s="118">
        <f t="shared" si="29"/>
        <v>196.63</v>
      </c>
      <c r="AV513" s="88"/>
      <c r="AW513" s="88"/>
      <c r="AX513" s="88"/>
      <c r="AY513" s="88"/>
      <c r="AZ513" s="88"/>
    </row>
    <row r="514" spans="1:52" s="90" customFormat="1" ht="15" customHeight="1" x14ac:dyDescent="0.3">
      <c r="A514" s="114">
        <v>503</v>
      </c>
      <c r="B514" s="174" t="s">
        <v>1195</v>
      </c>
      <c r="C514" s="120" t="s">
        <v>804</v>
      </c>
      <c r="D514" s="88"/>
      <c r="E514" s="88"/>
      <c r="F514" s="120" t="s">
        <v>958</v>
      </c>
      <c r="G514" s="25" t="s">
        <v>145</v>
      </c>
      <c r="H514" s="85" t="s">
        <v>146</v>
      </c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116">
        <v>162.24</v>
      </c>
      <c r="V514" s="120">
        <v>188.76</v>
      </c>
      <c r="W514" s="120">
        <v>35.659999999999997</v>
      </c>
      <c r="X514" s="120" t="s">
        <v>207</v>
      </c>
      <c r="Y514" s="120">
        <v>29.88</v>
      </c>
      <c r="Z514" s="120" t="s">
        <v>207</v>
      </c>
      <c r="AA514" s="120">
        <v>26.66</v>
      </c>
      <c r="AB514" s="120" t="s">
        <v>207</v>
      </c>
      <c r="AC514" s="120">
        <v>16.71</v>
      </c>
      <c r="AD514" s="120" t="s">
        <v>207</v>
      </c>
      <c r="AE514" s="120">
        <v>0</v>
      </c>
      <c r="AF514" s="120" t="s">
        <v>207</v>
      </c>
      <c r="AG514" s="120">
        <v>0</v>
      </c>
      <c r="AH514" s="120" t="s">
        <v>207</v>
      </c>
      <c r="AI514" s="120">
        <v>0</v>
      </c>
      <c r="AJ514" s="118" t="s">
        <v>207</v>
      </c>
      <c r="AK514" s="120">
        <v>0</v>
      </c>
      <c r="AL514" s="118" t="s">
        <v>207</v>
      </c>
      <c r="AM514" s="120">
        <v>0.91</v>
      </c>
      <c r="AN514" s="118" t="s">
        <v>207</v>
      </c>
      <c r="AO514" s="120">
        <v>13.56</v>
      </c>
      <c r="AP514" s="120" t="s">
        <v>207</v>
      </c>
      <c r="AQ514" s="120">
        <v>18.32</v>
      </c>
      <c r="AR514" s="120" t="s">
        <v>207</v>
      </c>
      <c r="AS514" s="120">
        <v>20.54</v>
      </c>
      <c r="AT514" s="120" t="s">
        <v>207</v>
      </c>
      <c r="AU514" s="118">
        <f t="shared" si="29"/>
        <v>162.23999999999998</v>
      </c>
      <c r="AV514" s="88"/>
      <c r="AW514" s="88"/>
      <c r="AX514" s="88"/>
      <c r="AY514" s="88"/>
      <c r="AZ514" s="88"/>
    </row>
    <row r="515" spans="1:52" s="90" customFormat="1" ht="15" customHeight="1" x14ac:dyDescent="0.3">
      <c r="A515" s="114">
        <v>504</v>
      </c>
      <c r="B515" s="174" t="s">
        <v>1196</v>
      </c>
      <c r="C515" s="120" t="s">
        <v>804</v>
      </c>
      <c r="D515" s="88"/>
      <c r="E515" s="88"/>
      <c r="F515" s="120" t="s">
        <v>958</v>
      </c>
      <c r="G515" s="25" t="s">
        <v>145</v>
      </c>
      <c r="H515" s="85" t="s">
        <v>146</v>
      </c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116">
        <v>246.12</v>
      </c>
      <c r="V515" s="120">
        <v>351.76</v>
      </c>
      <c r="W515" s="120">
        <v>50.32</v>
      </c>
      <c r="X515" s="120" t="s">
        <v>207</v>
      </c>
      <c r="Y515" s="120">
        <v>36.020000000000003</v>
      </c>
      <c r="Z515" s="120" t="s">
        <v>207</v>
      </c>
      <c r="AA515" s="120">
        <v>43.83</v>
      </c>
      <c r="AB515" s="120" t="s">
        <v>207</v>
      </c>
      <c r="AC515" s="120">
        <v>28.49</v>
      </c>
      <c r="AD515" s="120" t="s">
        <v>207</v>
      </c>
      <c r="AE515" s="120">
        <v>12.25</v>
      </c>
      <c r="AF515" s="120" t="s">
        <v>207</v>
      </c>
      <c r="AG515" s="120">
        <v>4.84</v>
      </c>
      <c r="AH515" s="120" t="s">
        <v>207</v>
      </c>
      <c r="AI515" s="120">
        <v>4.43</v>
      </c>
      <c r="AJ515" s="118" t="s">
        <v>207</v>
      </c>
      <c r="AK515" s="120">
        <v>3.85</v>
      </c>
      <c r="AL515" s="118" t="s">
        <v>207</v>
      </c>
      <c r="AM515" s="120">
        <v>5.33</v>
      </c>
      <c r="AN515" s="118" t="s">
        <v>207</v>
      </c>
      <c r="AO515" s="120">
        <v>33</v>
      </c>
      <c r="AP515" s="120" t="s">
        <v>207</v>
      </c>
      <c r="AQ515" s="120">
        <v>28.33</v>
      </c>
      <c r="AR515" s="120" t="s">
        <v>207</v>
      </c>
      <c r="AS515" s="120">
        <v>33.54</v>
      </c>
      <c r="AT515" s="120" t="s">
        <v>207</v>
      </c>
      <c r="AU515" s="118">
        <f t="shared" si="29"/>
        <v>284.23000000000008</v>
      </c>
      <c r="AV515" s="88"/>
      <c r="AW515" s="88"/>
      <c r="AX515" s="88"/>
      <c r="AY515" s="88"/>
      <c r="AZ515" s="88"/>
    </row>
    <row r="516" spans="1:52" s="90" customFormat="1" ht="15" customHeight="1" x14ac:dyDescent="0.3">
      <c r="A516" s="114">
        <v>505</v>
      </c>
      <c r="B516" s="174" t="s">
        <v>1197</v>
      </c>
      <c r="C516" s="120" t="s">
        <v>804</v>
      </c>
      <c r="D516" s="88"/>
      <c r="E516" s="88"/>
      <c r="F516" s="120" t="s">
        <v>958</v>
      </c>
      <c r="G516" s="25" t="s">
        <v>145</v>
      </c>
      <c r="H516" s="85" t="s">
        <v>146</v>
      </c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116">
        <v>385.65</v>
      </c>
      <c r="V516" s="120">
        <v>550.29</v>
      </c>
      <c r="W516" s="120">
        <v>32.25</v>
      </c>
      <c r="X516" s="120" t="s">
        <v>207</v>
      </c>
      <c r="Y516" s="120">
        <v>23.05</v>
      </c>
      <c r="Z516" s="120" t="s">
        <v>207</v>
      </c>
      <c r="AA516" s="120">
        <v>28.06</v>
      </c>
      <c r="AB516" s="120" t="s">
        <v>207</v>
      </c>
      <c r="AC516" s="120">
        <v>18.23</v>
      </c>
      <c r="AD516" s="120" t="s">
        <v>207</v>
      </c>
      <c r="AE516" s="120">
        <v>7.93</v>
      </c>
      <c r="AF516" s="120" t="s">
        <v>207</v>
      </c>
      <c r="AG516" s="120">
        <v>2.93</v>
      </c>
      <c r="AH516" s="120" t="s">
        <v>207</v>
      </c>
      <c r="AI516" s="120">
        <v>2.64</v>
      </c>
      <c r="AJ516" s="118" t="s">
        <v>207</v>
      </c>
      <c r="AK516" s="120">
        <v>2.31</v>
      </c>
      <c r="AL516" s="118" t="s">
        <v>207</v>
      </c>
      <c r="AM516" s="120">
        <v>3.24</v>
      </c>
      <c r="AN516" s="118" t="s">
        <v>207</v>
      </c>
      <c r="AO516" s="120">
        <v>21.16</v>
      </c>
      <c r="AP516" s="120" t="s">
        <v>207</v>
      </c>
      <c r="AQ516" s="120">
        <v>18.18</v>
      </c>
      <c r="AR516" s="120" t="s">
        <v>207</v>
      </c>
      <c r="AS516" s="120">
        <v>21.54</v>
      </c>
      <c r="AT516" s="120" t="s">
        <v>207</v>
      </c>
      <c r="AU516" s="118">
        <f t="shared" si="29"/>
        <v>181.52</v>
      </c>
      <c r="AV516" s="88"/>
      <c r="AW516" s="88"/>
      <c r="AX516" s="88"/>
      <c r="AY516" s="88"/>
      <c r="AZ516" s="88"/>
    </row>
    <row r="517" spans="1:52" s="90" customFormat="1" ht="15" customHeight="1" x14ac:dyDescent="0.3">
      <c r="A517" s="114">
        <v>506</v>
      </c>
      <c r="B517" s="174" t="s">
        <v>1198</v>
      </c>
      <c r="C517" s="120" t="s">
        <v>804</v>
      </c>
      <c r="D517" s="88"/>
      <c r="E517" s="88"/>
      <c r="F517" s="120" t="s">
        <v>958</v>
      </c>
      <c r="G517" s="25" t="s">
        <v>145</v>
      </c>
      <c r="H517" s="85" t="s">
        <v>146</v>
      </c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116">
        <v>416.64</v>
      </c>
      <c r="V517" s="120">
        <v>593.20000000000005</v>
      </c>
      <c r="W517" s="120">
        <v>54</v>
      </c>
      <c r="X517" s="120" t="s">
        <v>207</v>
      </c>
      <c r="Y517" s="120">
        <v>38.81</v>
      </c>
      <c r="Z517" s="120" t="s">
        <v>207</v>
      </c>
      <c r="AA517" s="120">
        <v>47.22</v>
      </c>
      <c r="AB517" s="120" t="s">
        <v>207</v>
      </c>
      <c r="AC517" s="120">
        <v>30.56</v>
      </c>
      <c r="AD517" s="120" t="s">
        <v>207</v>
      </c>
      <c r="AE517" s="120">
        <v>12.96</v>
      </c>
      <c r="AF517" s="120" t="s">
        <v>207</v>
      </c>
      <c r="AG517" s="120">
        <v>5.85</v>
      </c>
      <c r="AH517" s="120" t="s">
        <v>207</v>
      </c>
      <c r="AI517" s="120">
        <v>5.27</v>
      </c>
      <c r="AJ517" s="118" t="s">
        <v>207</v>
      </c>
      <c r="AK517" s="120">
        <v>4.72</v>
      </c>
      <c r="AL517" s="118" t="s">
        <v>207</v>
      </c>
      <c r="AM517" s="120">
        <v>6.28</v>
      </c>
      <c r="AN517" s="118" t="s">
        <v>207</v>
      </c>
      <c r="AO517" s="120">
        <v>35.32</v>
      </c>
      <c r="AP517" s="120" t="s">
        <v>207</v>
      </c>
      <c r="AQ517" s="120">
        <v>30.25</v>
      </c>
      <c r="AR517" s="120" t="s">
        <v>207</v>
      </c>
      <c r="AS517" s="120">
        <v>35.99</v>
      </c>
      <c r="AT517" s="120" t="s">
        <v>207</v>
      </c>
      <c r="AU517" s="118">
        <f t="shared" si="29"/>
        <v>307.23</v>
      </c>
      <c r="AV517" s="88"/>
      <c r="AW517" s="88"/>
      <c r="AX517" s="88"/>
      <c r="AY517" s="88"/>
      <c r="AZ517" s="88"/>
    </row>
    <row r="518" spans="1:52" s="90" customFormat="1" ht="15" customHeight="1" x14ac:dyDescent="0.3">
      <c r="A518" s="114">
        <v>507</v>
      </c>
      <c r="B518" s="174" t="s">
        <v>1199</v>
      </c>
      <c r="C518" s="120" t="s">
        <v>804</v>
      </c>
      <c r="D518" s="88"/>
      <c r="E518" s="88"/>
      <c r="F518" s="120" t="s">
        <v>958</v>
      </c>
      <c r="G518" s="25" t="s">
        <v>145</v>
      </c>
      <c r="H518" s="85" t="s">
        <v>146</v>
      </c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116">
        <v>355.84</v>
      </c>
      <c r="V518" s="120">
        <v>437.65</v>
      </c>
      <c r="W518" s="120">
        <v>57.01</v>
      </c>
      <c r="X518" s="120" t="s">
        <v>207</v>
      </c>
      <c r="Y518" s="120">
        <v>42.11</v>
      </c>
      <c r="Z518" s="120" t="s">
        <v>207</v>
      </c>
      <c r="AA518" s="120">
        <v>66.010000000000005</v>
      </c>
      <c r="AB518" s="120" t="s">
        <v>207</v>
      </c>
      <c r="AC518" s="120">
        <v>35.26</v>
      </c>
      <c r="AD518" s="120" t="s">
        <v>207</v>
      </c>
      <c r="AE518" s="120">
        <v>12.15</v>
      </c>
      <c r="AF518" s="120" t="s">
        <v>207</v>
      </c>
      <c r="AG518" s="120">
        <v>7.43</v>
      </c>
      <c r="AH518" s="120" t="s">
        <v>207</v>
      </c>
      <c r="AI518" s="120">
        <v>6.87</v>
      </c>
      <c r="AJ518" s="118" t="s">
        <v>207</v>
      </c>
      <c r="AK518" s="120">
        <v>5.17</v>
      </c>
      <c r="AL518" s="118" t="s">
        <v>207</v>
      </c>
      <c r="AM518" s="120">
        <v>6.79</v>
      </c>
      <c r="AN518" s="118" t="s">
        <v>207</v>
      </c>
      <c r="AO518" s="120">
        <v>34.5</v>
      </c>
      <c r="AP518" s="120" t="s">
        <v>207</v>
      </c>
      <c r="AQ518" s="120">
        <v>35.950000000000003</v>
      </c>
      <c r="AR518" s="120" t="s">
        <v>207</v>
      </c>
      <c r="AS518" s="120">
        <v>48.77</v>
      </c>
      <c r="AT518" s="120" t="s">
        <v>207</v>
      </c>
      <c r="AU518" s="118">
        <f t="shared" si="29"/>
        <v>358.01999999999992</v>
      </c>
      <c r="AV518" s="88"/>
      <c r="AW518" s="88"/>
      <c r="AX518" s="88"/>
      <c r="AY518" s="88"/>
      <c r="AZ518" s="88"/>
    </row>
    <row r="519" spans="1:52" s="90" customFormat="1" ht="15" customHeight="1" x14ac:dyDescent="0.3">
      <c r="A519" s="114">
        <v>508</v>
      </c>
      <c r="B519" s="174" t="s">
        <v>1200</v>
      </c>
      <c r="C519" s="120" t="s">
        <v>804</v>
      </c>
      <c r="D519" s="88"/>
      <c r="E519" s="88"/>
      <c r="F519" s="120" t="s">
        <v>958</v>
      </c>
      <c r="G519" s="25" t="s">
        <v>145</v>
      </c>
      <c r="H519" s="85" t="s">
        <v>146</v>
      </c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116">
        <v>322.52</v>
      </c>
      <c r="V519" s="120">
        <v>399.05</v>
      </c>
      <c r="W519" s="120">
        <v>52.44</v>
      </c>
      <c r="X519" s="120" t="s">
        <v>207</v>
      </c>
      <c r="Y519" s="120">
        <v>38.840000000000003</v>
      </c>
      <c r="Z519" s="120" t="s">
        <v>207</v>
      </c>
      <c r="AA519" s="120">
        <v>60.74</v>
      </c>
      <c r="AB519" s="120" t="s">
        <v>207</v>
      </c>
      <c r="AC519" s="120">
        <v>32.5</v>
      </c>
      <c r="AD519" s="120" t="s">
        <v>207</v>
      </c>
      <c r="AE519" s="120">
        <v>11.4</v>
      </c>
      <c r="AF519" s="120" t="s">
        <v>207</v>
      </c>
      <c r="AG519" s="120">
        <v>5.32</v>
      </c>
      <c r="AH519" s="120" t="s">
        <v>207</v>
      </c>
      <c r="AI519" s="120">
        <v>4.88</v>
      </c>
      <c r="AJ519" s="118" t="s">
        <v>207</v>
      </c>
      <c r="AK519" s="120">
        <v>3.63</v>
      </c>
      <c r="AL519" s="118" t="s">
        <v>207</v>
      </c>
      <c r="AM519" s="120">
        <v>4.72</v>
      </c>
      <c r="AN519" s="118" t="s">
        <v>207</v>
      </c>
      <c r="AO519" s="120">
        <v>32.08</v>
      </c>
      <c r="AP519" s="120" t="s">
        <v>207</v>
      </c>
      <c r="AQ519" s="120">
        <v>33.35</v>
      </c>
      <c r="AR519" s="120" t="s">
        <v>207</v>
      </c>
      <c r="AS519" s="120">
        <v>44.96</v>
      </c>
      <c r="AT519" s="120" t="s">
        <v>207</v>
      </c>
      <c r="AU519" s="118">
        <f t="shared" si="29"/>
        <v>324.86</v>
      </c>
      <c r="AV519" s="88"/>
      <c r="AW519" s="88"/>
      <c r="AX519" s="88"/>
      <c r="AY519" s="88"/>
      <c r="AZ519" s="88"/>
    </row>
    <row r="520" spans="1:52" s="90" customFormat="1" ht="15" customHeight="1" x14ac:dyDescent="0.3">
      <c r="A520" s="114">
        <v>509</v>
      </c>
      <c r="B520" s="174" t="s">
        <v>1201</v>
      </c>
      <c r="C520" s="120" t="s">
        <v>804</v>
      </c>
      <c r="D520" s="88"/>
      <c r="E520" s="88"/>
      <c r="F520" s="120" t="s">
        <v>958</v>
      </c>
      <c r="G520" s="25" t="s">
        <v>145</v>
      </c>
      <c r="H520" s="85" t="s">
        <v>146</v>
      </c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116">
        <v>293.77</v>
      </c>
      <c r="V520" s="120">
        <v>373.44</v>
      </c>
      <c r="W520" s="120">
        <v>30.61</v>
      </c>
      <c r="X520" s="120" t="s">
        <v>207</v>
      </c>
      <c r="Y520" s="120">
        <v>29.64</v>
      </c>
      <c r="Z520" s="120" t="s">
        <v>207</v>
      </c>
      <c r="AA520" s="120">
        <v>50.55</v>
      </c>
      <c r="AB520" s="120" t="s">
        <v>207</v>
      </c>
      <c r="AC520" s="120">
        <v>27.02</v>
      </c>
      <c r="AD520" s="120" t="s">
        <v>207</v>
      </c>
      <c r="AE520" s="120">
        <v>9.48</v>
      </c>
      <c r="AF520" s="120" t="s">
        <v>207</v>
      </c>
      <c r="AG520" s="120">
        <v>4.32</v>
      </c>
      <c r="AH520" s="120" t="s">
        <v>207</v>
      </c>
      <c r="AI520" s="120">
        <v>3.89</v>
      </c>
      <c r="AJ520" s="118" t="s">
        <v>207</v>
      </c>
      <c r="AK520" s="120">
        <v>2.97</v>
      </c>
      <c r="AL520" s="118" t="s">
        <v>207</v>
      </c>
      <c r="AM520" s="120">
        <v>3.84</v>
      </c>
      <c r="AN520" s="118" t="s">
        <v>207</v>
      </c>
      <c r="AO520" s="120">
        <v>26.73</v>
      </c>
      <c r="AP520" s="120" t="s">
        <v>207</v>
      </c>
      <c r="AQ520" s="120">
        <v>27.7</v>
      </c>
      <c r="AR520" s="120" t="s">
        <v>207</v>
      </c>
      <c r="AS520" s="120">
        <v>37.409999999999997</v>
      </c>
      <c r="AT520" s="120" t="s">
        <v>207</v>
      </c>
      <c r="AU520" s="118">
        <f t="shared" si="29"/>
        <v>254.15999999999994</v>
      </c>
      <c r="AV520" s="88"/>
      <c r="AW520" s="88"/>
      <c r="AX520" s="88"/>
      <c r="AY520" s="88"/>
      <c r="AZ520" s="88"/>
    </row>
    <row r="521" spans="1:52" s="90" customFormat="1" ht="15" customHeight="1" x14ac:dyDescent="0.3">
      <c r="A521" s="114">
        <v>510</v>
      </c>
      <c r="B521" s="174" t="s">
        <v>1202</v>
      </c>
      <c r="C521" s="120" t="s">
        <v>804</v>
      </c>
      <c r="D521" s="88"/>
      <c r="E521" s="88"/>
      <c r="F521" s="120" t="s">
        <v>958</v>
      </c>
      <c r="G521" s="25" t="s">
        <v>145</v>
      </c>
      <c r="H521" s="85" t="s">
        <v>146</v>
      </c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116">
        <v>381.18</v>
      </c>
      <c r="V521" s="120">
        <v>551.32000000000005</v>
      </c>
      <c r="W521" s="120">
        <v>99.33</v>
      </c>
      <c r="X521" s="120" t="s">
        <v>207</v>
      </c>
      <c r="Y521" s="120">
        <v>56.3</v>
      </c>
      <c r="Z521" s="120" t="s">
        <v>207</v>
      </c>
      <c r="AA521" s="120">
        <v>71.900000000000006</v>
      </c>
      <c r="AB521" s="120" t="s">
        <v>207</v>
      </c>
      <c r="AC521" s="120">
        <v>38.5</v>
      </c>
      <c r="AD521" s="120" t="s">
        <v>207</v>
      </c>
      <c r="AE521" s="120">
        <v>8.8000000000000007</v>
      </c>
      <c r="AF521" s="120" t="s">
        <v>207</v>
      </c>
      <c r="AG521" s="120">
        <v>0</v>
      </c>
      <c r="AH521" s="120" t="s">
        <v>207</v>
      </c>
      <c r="AI521" s="120">
        <v>0</v>
      </c>
      <c r="AJ521" s="118" t="s">
        <v>207</v>
      </c>
      <c r="AK521" s="120">
        <v>0</v>
      </c>
      <c r="AL521" s="118" t="s">
        <v>207</v>
      </c>
      <c r="AM521" s="120">
        <v>3.04</v>
      </c>
      <c r="AN521" s="118" t="s">
        <v>207</v>
      </c>
      <c r="AO521" s="120">
        <v>52.8</v>
      </c>
      <c r="AP521" s="120" t="s">
        <v>207</v>
      </c>
      <c r="AQ521" s="120">
        <v>44.8</v>
      </c>
      <c r="AR521" s="120" t="s">
        <v>207</v>
      </c>
      <c r="AS521" s="120">
        <v>59.4</v>
      </c>
      <c r="AT521" s="120" t="s">
        <v>207</v>
      </c>
      <c r="AU521" s="118">
        <f t="shared" si="29"/>
        <v>434.87</v>
      </c>
      <c r="AV521" s="88"/>
      <c r="AW521" s="88"/>
      <c r="AX521" s="88"/>
      <c r="AY521" s="88"/>
      <c r="AZ521" s="88"/>
    </row>
    <row r="522" spans="1:52" s="90" customFormat="1" ht="15" customHeight="1" x14ac:dyDescent="0.3">
      <c r="A522" s="114">
        <v>511</v>
      </c>
      <c r="B522" s="174" t="s">
        <v>1203</v>
      </c>
      <c r="C522" s="120" t="s">
        <v>959</v>
      </c>
      <c r="D522" s="88"/>
      <c r="E522" s="88"/>
      <c r="F522" s="120" t="s">
        <v>958</v>
      </c>
      <c r="G522" s="25" t="s">
        <v>145</v>
      </c>
      <c r="H522" s="85" t="s">
        <v>146</v>
      </c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116">
        <v>387.93</v>
      </c>
      <c r="V522" s="120">
        <v>428.78</v>
      </c>
      <c r="W522" s="120">
        <v>84.59</v>
      </c>
      <c r="X522" s="120" t="s">
        <v>207</v>
      </c>
      <c r="Y522" s="120">
        <v>65.06</v>
      </c>
      <c r="Z522" s="120" t="s">
        <v>207</v>
      </c>
      <c r="AA522" s="120">
        <v>58.44</v>
      </c>
      <c r="AB522" s="120" t="s">
        <v>207</v>
      </c>
      <c r="AC522" s="120">
        <v>34.69</v>
      </c>
      <c r="AD522" s="120" t="s">
        <v>207</v>
      </c>
      <c r="AE522" s="120">
        <v>12.32</v>
      </c>
      <c r="AF522" s="120" t="s">
        <v>207</v>
      </c>
      <c r="AG522" s="120">
        <v>0</v>
      </c>
      <c r="AH522" s="120" t="s">
        <v>207</v>
      </c>
      <c r="AI522" s="120">
        <v>0</v>
      </c>
      <c r="AJ522" s="118" t="s">
        <v>207</v>
      </c>
      <c r="AK522" s="120">
        <v>0</v>
      </c>
      <c r="AL522" s="118" t="s">
        <v>207</v>
      </c>
      <c r="AM522" s="120">
        <v>5.81</v>
      </c>
      <c r="AN522" s="118" t="s">
        <v>207</v>
      </c>
      <c r="AO522" s="120">
        <v>35.299999999999997</v>
      </c>
      <c r="AP522" s="120" t="s">
        <v>207</v>
      </c>
      <c r="AQ522" s="120">
        <v>41.69</v>
      </c>
      <c r="AR522" s="120" t="s">
        <v>207</v>
      </c>
      <c r="AS522" s="120">
        <v>50.03</v>
      </c>
      <c r="AT522" s="120" t="s">
        <v>207</v>
      </c>
      <c r="AU522" s="118">
        <f t="shared" si="29"/>
        <v>387.92999999999995</v>
      </c>
      <c r="AV522" s="88"/>
      <c r="AW522" s="88"/>
      <c r="AX522" s="88"/>
      <c r="AY522" s="88"/>
      <c r="AZ522" s="88"/>
    </row>
    <row r="523" spans="1:52" s="90" customFormat="1" ht="15" customHeight="1" x14ac:dyDescent="0.3">
      <c r="A523" s="114">
        <v>512</v>
      </c>
      <c r="B523" s="174" t="s">
        <v>1204</v>
      </c>
      <c r="C523" s="120" t="s">
        <v>959</v>
      </c>
      <c r="D523" s="88"/>
      <c r="E523" s="88"/>
      <c r="F523" s="120" t="s">
        <v>958</v>
      </c>
      <c r="G523" s="25" t="s">
        <v>145</v>
      </c>
      <c r="H523" s="85" t="s">
        <v>146</v>
      </c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116">
        <v>89.08</v>
      </c>
      <c r="V523" s="120">
        <v>99.11</v>
      </c>
      <c r="W523" s="120">
        <v>19.510000000000002</v>
      </c>
      <c r="X523" s="120" t="s">
        <v>207</v>
      </c>
      <c r="Y523" s="120">
        <v>15.03</v>
      </c>
      <c r="Z523" s="120" t="s">
        <v>207</v>
      </c>
      <c r="AA523" s="120">
        <v>13.52</v>
      </c>
      <c r="AB523" s="120" t="s">
        <v>207</v>
      </c>
      <c r="AC523" s="120">
        <v>7.91</v>
      </c>
      <c r="AD523" s="120" t="s">
        <v>207</v>
      </c>
      <c r="AE523" s="120">
        <v>2.82</v>
      </c>
      <c r="AF523" s="120" t="s">
        <v>207</v>
      </c>
      <c r="AG523" s="120">
        <v>0</v>
      </c>
      <c r="AH523" s="120" t="s">
        <v>207</v>
      </c>
      <c r="AI523" s="120">
        <v>0</v>
      </c>
      <c r="AJ523" s="118" t="s">
        <v>207</v>
      </c>
      <c r="AK523" s="120">
        <v>0</v>
      </c>
      <c r="AL523" s="118" t="s">
        <v>207</v>
      </c>
      <c r="AM523" s="120">
        <v>1.33</v>
      </c>
      <c r="AN523" s="118" t="s">
        <v>207</v>
      </c>
      <c r="AO523" s="120">
        <v>8.0399999999999991</v>
      </c>
      <c r="AP523" s="120" t="s">
        <v>207</v>
      </c>
      <c r="AQ523" s="120">
        <v>9.51</v>
      </c>
      <c r="AR523" s="120" t="s">
        <v>207</v>
      </c>
      <c r="AS523" s="120">
        <v>11.41</v>
      </c>
      <c r="AT523" s="120" t="s">
        <v>207</v>
      </c>
      <c r="AU523" s="118">
        <f t="shared" si="29"/>
        <v>89.08</v>
      </c>
      <c r="AV523" s="88"/>
      <c r="AW523" s="88"/>
      <c r="AX523" s="88"/>
      <c r="AY523" s="88"/>
      <c r="AZ523" s="88"/>
    </row>
    <row r="524" spans="1:52" s="90" customFormat="1" ht="15" customHeight="1" x14ac:dyDescent="0.3">
      <c r="A524" s="114">
        <v>513</v>
      </c>
      <c r="B524" s="174" t="s">
        <v>1205</v>
      </c>
      <c r="C524" s="120" t="s">
        <v>959</v>
      </c>
      <c r="D524" s="88"/>
      <c r="E524" s="88"/>
      <c r="F524" s="120" t="s">
        <v>958</v>
      </c>
      <c r="G524" s="25" t="s">
        <v>145</v>
      </c>
      <c r="H524" s="85" t="s">
        <v>146</v>
      </c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116"/>
      <c r="V524" s="120"/>
      <c r="W524" s="120"/>
      <c r="X524" s="120" t="s">
        <v>207</v>
      </c>
      <c r="Y524" s="120"/>
      <c r="Z524" s="120" t="s">
        <v>207</v>
      </c>
      <c r="AA524" s="120"/>
      <c r="AB524" s="120" t="s">
        <v>207</v>
      </c>
      <c r="AC524" s="120"/>
      <c r="AD524" s="120" t="s">
        <v>207</v>
      </c>
      <c r="AE524" s="120"/>
      <c r="AF524" s="120" t="s">
        <v>207</v>
      </c>
      <c r="AG524" s="120"/>
      <c r="AH524" s="120" t="s">
        <v>207</v>
      </c>
      <c r="AI524" s="120"/>
      <c r="AJ524" s="118" t="s">
        <v>207</v>
      </c>
      <c r="AK524" s="120"/>
      <c r="AL524" s="118" t="s">
        <v>207</v>
      </c>
      <c r="AM524" s="120"/>
      <c r="AN524" s="118" t="s">
        <v>207</v>
      </c>
      <c r="AO524" s="120"/>
      <c r="AP524" s="120" t="s">
        <v>207</v>
      </c>
      <c r="AQ524" s="120"/>
      <c r="AR524" s="120" t="s">
        <v>207</v>
      </c>
      <c r="AS524" s="120"/>
      <c r="AT524" s="120" t="s">
        <v>207</v>
      </c>
      <c r="AU524" s="118">
        <f t="shared" si="29"/>
        <v>0</v>
      </c>
      <c r="AV524" s="88"/>
      <c r="AW524" s="88"/>
      <c r="AX524" s="88"/>
      <c r="AY524" s="88"/>
      <c r="AZ524" s="88"/>
    </row>
    <row r="525" spans="1:52" s="90" customFormat="1" ht="15" customHeight="1" x14ac:dyDescent="0.3">
      <c r="A525" s="114">
        <v>514</v>
      </c>
      <c r="B525" s="174" t="s">
        <v>1206</v>
      </c>
      <c r="C525" s="120" t="s">
        <v>959</v>
      </c>
      <c r="D525" s="88"/>
      <c r="E525" s="88"/>
      <c r="F525" s="120" t="s">
        <v>958</v>
      </c>
      <c r="G525" s="25" t="s">
        <v>145</v>
      </c>
      <c r="H525" s="85" t="s">
        <v>146</v>
      </c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116"/>
      <c r="V525" s="120"/>
      <c r="W525" s="120"/>
      <c r="X525" s="120" t="s">
        <v>207</v>
      </c>
      <c r="Y525" s="120"/>
      <c r="Z525" s="120" t="s">
        <v>207</v>
      </c>
      <c r="AA525" s="120"/>
      <c r="AB525" s="120" t="s">
        <v>207</v>
      </c>
      <c r="AC525" s="120"/>
      <c r="AD525" s="120" t="s">
        <v>207</v>
      </c>
      <c r="AE525" s="120"/>
      <c r="AF525" s="120" t="s">
        <v>207</v>
      </c>
      <c r="AG525" s="120"/>
      <c r="AH525" s="120" t="s">
        <v>207</v>
      </c>
      <c r="AI525" s="120"/>
      <c r="AJ525" s="118" t="s">
        <v>207</v>
      </c>
      <c r="AK525" s="120"/>
      <c r="AL525" s="118" t="s">
        <v>207</v>
      </c>
      <c r="AM525" s="120"/>
      <c r="AN525" s="118" t="s">
        <v>207</v>
      </c>
      <c r="AO525" s="120"/>
      <c r="AP525" s="120" t="s">
        <v>207</v>
      </c>
      <c r="AQ525" s="120"/>
      <c r="AR525" s="120" t="s">
        <v>207</v>
      </c>
      <c r="AS525" s="120"/>
      <c r="AT525" s="120" t="s">
        <v>207</v>
      </c>
      <c r="AU525" s="118">
        <f t="shared" si="29"/>
        <v>0</v>
      </c>
      <c r="AV525" s="88"/>
      <c r="AW525" s="88"/>
      <c r="AX525" s="88"/>
      <c r="AY525" s="88"/>
      <c r="AZ525" s="88"/>
    </row>
    <row r="526" spans="1:52" s="90" customFormat="1" ht="15" customHeight="1" x14ac:dyDescent="0.3">
      <c r="A526" s="114">
        <v>515</v>
      </c>
      <c r="B526" s="174" t="s">
        <v>1207</v>
      </c>
      <c r="C526" s="120" t="s">
        <v>959</v>
      </c>
      <c r="D526" s="88"/>
      <c r="E526" s="88"/>
      <c r="F526" s="120" t="s">
        <v>958</v>
      </c>
      <c r="G526" s="25" t="s">
        <v>145</v>
      </c>
      <c r="H526" s="85" t="s">
        <v>146</v>
      </c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116">
        <v>163.76</v>
      </c>
      <c r="V526" s="120">
        <v>187.01</v>
      </c>
      <c r="W526" s="120">
        <v>36.869999999999997</v>
      </c>
      <c r="X526" s="120" t="s">
        <v>207</v>
      </c>
      <c r="Y526" s="120">
        <v>28.37</v>
      </c>
      <c r="Z526" s="120" t="s">
        <v>207</v>
      </c>
      <c r="AA526" s="120">
        <v>25.49</v>
      </c>
      <c r="AB526" s="120" t="s">
        <v>207</v>
      </c>
      <c r="AC526" s="120">
        <v>15.1</v>
      </c>
      <c r="AD526" s="120" t="s">
        <v>207</v>
      </c>
      <c r="AE526" s="120">
        <v>0</v>
      </c>
      <c r="AF526" s="120" t="s">
        <v>207</v>
      </c>
      <c r="AG526" s="120">
        <v>0</v>
      </c>
      <c r="AH526" s="120" t="s">
        <v>207</v>
      </c>
      <c r="AI526" s="120">
        <v>0</v>
      </c>
      <c r="AJ526" s="118" t="s">
        <v>207</v>
      </c>
      <c r="AK526" s="120">
        <v>0</v>
      </c>
      <c r="AL526" s="118" t="s">
        <v>207</v>
      </c>
      <c r="AM526" s="120">
        <v>2.35</v>
      </c>
      <c r="AN526" s="118" t="s">
        <v>207</v>
      </c>
      <c r="AO526" s="120">
        <v>16.8</v>
      </c>
      <c r="AP526" s="120" t="s">
        <v>207</v>
      </c>
      <c r="AQ526" s="120">
        <v>17.62</v>
      </c>
      <c r="AR526" s="120" t="s">
        <v>207</v>
      </c>
      <c r="AS526" s="120">
        <v>21.16</v>
      </c>
      <c r="AT526" s="120" t="s">
        <v>207</v>
      </c>
      <c r="AU526" s="118">
        <f t="shared" si="29"/>
        <v>163.75999999999996</v>
      </c>
      <c r="AV526" s="88"/>
      <c r="AW526" s="88"/>
      <c r="AX526" s="88"/>
      <c r="AY526" s="88"/>
      <c r="AZ526" s="88"/>
    </row>
    <row r="527" spans="1:52" s="90" customFormat="1" ht="15" customHeight="1" x14ac:dyDescent="0.3">
      <c r="A527" s="114">
        <v>516</v>
      </c>
      <c r="B527" s="174" t="s">
        <v>1208</v>
      </c>
      <c r="C527" s="120" t="s">
        <v>804</v>
      </c>
      <c r="D527" s="88"/>
      <c r="E527" s="88"/>
      <c r="F527" s="120" t="s">
        <v>958</v>
      </c>
      <c r="G527" s="25" t="s">
        <v>145</v>
      </c>
      <c r="H527" s="85" t="s">
        <v>146</v>
      </c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116">
        <v>214.53</v>
      </c>
      <c r="V527" s="120">
        <v>243.91</v>
      </c>
      <c r="W527" s="120">
        <v>28.36</v>
      </c>
      <c r="X527" s="120" t="s">
        <v>207</v>
      </c>
      <c r="Y527" s="120">
        <v>17.96</v>
      </c>
      <c r="Z527" s="120" t="s">
        <v>207</v>
      </c>
      <c r="AA527" s="120">
        <v>28.17</v>
      </c>
      <c r="AB527" s="120" t="s">
        <v>207</v>
      </c>
      <c r="AC527" s="120">
        <v>15.64</v>
      </c>
      <c r="AD527" s="120" t="s">
        <v>207</v>
      </c>
      <c r="AE527" s="120">
        <v>6.57</v>
      </c>
      <c r="AF527" s="120" t="s">
        <v>207</v>
      </c>
      <c r="AG527" s="120">
        <v>2.66</v>
      </c>
      <c r="AH527" s="120" t="s">
        <v>207</v>
      </c>
      <c r="AI527" s="120">
        <v>2.37</v>
      </c>
      <c r="AJ527" s="118" t="s">
        <v>207</v>
      </c>
      <c r="AK527" s="120">
        <v>2.69</v>
      </c>
      <c r="AL527" s="118" t="s">
        <v>207</v>
      </c>
      <c r="AM527" s="120">
        <v>3.42</v>
      </c>
      <c r="AN527" s="118" t="s">
        <v>207</v>
      </c>
      <c r="AO527" s="120">
        <v>17.48</v>
      </c>
      <c r="AP527" s="120" t="s">
        <v>207</v>
      </c>
      <c r="AQ527" s="120">
        <v>18.53</v>
      </c>
      <c r="AR527" s="120" t="s">
        <v>207</v>
      </c>
      <c r="AS527" s="120">
        <v>21.38</v>
      </c>
      <c r="AT527" s="120" t="s">
        <v>207</v>
      </c>
      <c r="AU527" s="118">
        <f t="shared" si="29"/>
        <v>165.23000000000002</v>
      </c>
      <c r="AV527" s="88"/>
      <c r="AW527" s="88"/>
      <c r="AX527" s="88"/>
      <c r="AY527" s="88"/>
      <c r="AZ527" s="88"/>
    </row>
    <row r="528" spans="1:52" s="90" customFormat="1" ht="15" customHeight="1" x14ac:dyDescent="0.3">
      <c r="A528" s="114">
        <v>517</v>
      </c>
      <c r="B528" s="174" t="s">
        <v>1209</v>
      </c>
      <c r="C528" s="120" t="s">
        <v>959</v>
      </c>
      <c r="D528" s="88"/>
      <c r="E528" s="88"/>
      <c r="F528" s="120" t="s">
        <v>958</v>
      </c>
      <c r="G528" s="25" t="s">
        <v>145</v>
      </c>
      <c r="H528" s="85" t="s">
        <v>146</v>
      </c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116">
        <v>356.14</v>
      </c>
      <c r="V528" s="120">
        <v>392</v>
      </c>
      <c r="W528" s="120">
        <v>77.3</v>
      </c>
      <c r="X528" s="120" t="s">
        <v>207</v>
      </c>
      <c r="Y528" s="120">
        <v>59.47</v>
      </c>
      <c r="Z528" s="120" t="s">
        <v>207</v>
      </c>
      <c r="AA528" s="120">
        <v>53.44</v>
      </c>
      <c r="AB528" s="120" t="s">
        <v>207</v>
      </c>
      <c r="AC528" s="120">
        <v>32.99</v>
      </c>
      <c r="AD528" s="120" t="s">
        <v>207</v>
      </c>
      <c r="AE528" s="120">
        <v>10.6</v>
      </c>
      <c r="AF528" s="120" t="s">
        <v>207</v>
      </c>
      <c r="AG528" s="120">
        <v>0</v>
      </c>
      <c r="AH528" s="120" t="s">
        <v>207</v>
      </c>
      <c r="AI528" s="120">
        <v>0</v>
      </c>
      <c r="AJ528" s="118" t="s">
        <v>207</v>
      </c>
      <c r="AK528" s="120">
        <v>0</v>
      </c>
      <c r="AL528" s="118" t="s">
        <v>207</v>
      </c>
      <c r="AM528" s="120">
        <v>4.83</v>
      </c>
      <c r="AN528" s="118" t="s">
        <v>207</v>
      </c>
      <c r="AO528" s="120">
        <v>36.950000000000003</v>
      </c>
      <c r="AP528" s="120" t="s">
        <v>207</v>
      </c>
      <c r="AQ528" s="120">
        <v>36.590000000000003</v>
      </c>
      <c r="AR528" s="120" t="s">
        <v>207</v>
      </c>
      <c r="AS528" s="120">
        <v>43.97</v>
      </c>
      <c r="AT528" s="120" t="s">
        <v>207</v>
      </c>
      <c r="AU528" s="118">
        <f t="shared" si="29"/>
        <v>356.14</v>
      </c>
      <c r="AV528" s="88"/>
      <c r="AW528" s="88"/>
      <c r="AX528" s="88"/>
      <c r="AY528" s="88"/>
      <c r="AZ528" s="88"/>
    </row>
    <row r="529" spans="1:52" s="90" customFormat="1" ht="15" customHeight="1" x14ac:dyDescent="0.3">
      <c r="A529" s="114">
        <v>518</v>
      </c>
      <c r="B529" s="174" t="s">
        <v>1210</v>
      </c>
      <c r="C529" s="120" t="s">
        <v>804</v>
      </c>
      <c r="D529" s="88"/>
      <c r="E529" s="88"/>
      <c r="F529" s="120" t="s">
        <v>958</v>
      </c>
      <c r="G529" s="25" t="s">
        <v>145</v>
      </c>
      <c r="H529" s="85" t="s">
        <v>146</v>
      </c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116">
        <v>721.89</v>
      </c>
      <c r="V529" s="120">
        <v>815.68</v>
      </c>
      <c r="W529" s="120">
        <v>30.32</v>
      </c>
      <c r="X529" s="120" t="s">
        <v>207</v>
      </c>
      <c r="Y529" s="120">
        <v>23.33</v>
      </c>
      <c r="Z529" s="120" t="s">
        <v>207</v>
      </c>
      <c r="AA529" s="120">
        <v>20.96</v>
      </c>
      <c r="AB529" s="120" t="s">
        <v>207</v>
      </c>
      <c r="AC529" s="120">
        <v>13.94</v>
      </c>
      <c r="AD529" s="120" t="s">
        <v>207</v>
      </c>
      <c r="AE529" s="120">
        <v>4.57</v>
      </c>
      <c r="AF529" s="120" t="s">
        <v>207</v>
      </c>
      <c r="AG529" s="120">
        <v>0</v>
      </c>
      <c r="AH529" s="120" t="s">
        <v>207</v>
      </c>
      <c r="AI529" s="120">
        <v>0</v>
      </c>
      <c r="AJ529" s="118" t="s">
        <v>207</v>
      </c>
      <c r="AK529" s="120">
        <v>0</v>
      </c>
      <c r="AL529" s="118" t="s">
        <v>207</v>
      </c>
      <c r="AM529" s="120">
        <v>3.37</v>
      </c>
      <c r="AN529" s="118" t="s">
        <v>207</v>
      </c>
      <c r="AO529" s="120">
        <v>17.64</v>
      </c>
      <c r="AP529" s="120" t="s">
        <v>207</v>
      </c>
      <c r="AQ529" s="120">
        <v>15.99</v>
      </c>
      <c r="AR529" s="120" t="s">
        <v>207</v>
      </c>
      <c r="AS529" s="120">
        <v>19.12</v>
      </c>
      <c r="AT529" s="120" t="s">
        <v>207</v>
      </c>
      <c r="AU529" s="118">
        <f t="shared" si="29"/>
        <v>149.24</v>
      </c>
      <c r="AV529" s="88"/>
      <c r="AW529" s="88"/>
      <c r="AX529" s="88"/>
      <c r="AY529" s="88"/>
      <c r="AZ529" s="88"/>
    </row>
    <row r="530" spans="1:52" s="90" customFormat="1" ht="15" customHeight="1" x14ac:dyDescent="0.3">
      <c r="A530" s="114">
        <v>519</v>
      </c>
      <c r="B530" s="174" t="s">
        <v>1211</v>
      </c>
      <c r="C530" s="120" t="s">
        <v>959</v>
      </c>
      <c r="D530" s="88"/>
      <c r="E530" s="88"/>
      <c r="F530" s="120" t="s">
        <v>958</v>
      </c>
      <c r="G530" s="25" t="s">
        <v>145</v>
      </c>
      <c r="H530" s="85" t="s">
        <v>146</v>
      </c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116">
        <v>149.24</v>
      </c>
      <c r="V530" s="120">
        <v>153.76</v>
      </c>
      <c r="W530" s="120"/>
      <c r="X530" s="120" t="s">
        <v>207</v>
      </c>
      <c r="Y530" s="120"/>
      <c r="Z530" s="120" t="s">
        <v>207</v>
      </c>
      <c r="AA530" s="120"/>
      <c r="AB530" s="120" t="s">
        <v>207</v>
      </c>
      <c r="AC530" s="120"/>
      <c r="AD530" s="120" t="s">
        <v>207</v>
      </c>
      <c r="AE530" s="120"/>
      <c r="AF530" s="120" t="s">
        <v>207</v>
      </c>
      <c r="AG530" s="120"/>
      <c r="AH530" s="120" t="s">
        <v>207</v>
      </c>
      <c r="AI530" s="120"/>
      <c r="AJ530" s="118" t="s">
        <v>207</v>
      </c>
      <c r="AK530" s="120"/>
      <c r="AL530" s="118" t="s">
        <v>207</v>
      </c>
      <c r="AM530" s="120"/>
      <c r="AN530" s="118" t="s">
        <v>207</v>
      </c>
      <c r="AO530" s="120"/>
      <c r="AP530" s="120" t="s">
        <v>207</v>
      </c>
      <c r="AQ530" s="120"/>
      <c r="AR530" s="120" t="s">
        <v>207</v>
      </c>
      <c r="AS530" s="120"/>
      <c r="AT530" s="120" t="s">
        <v>207</v>
      </c>
      <c r="AU530" s="118">
        <f t="shared" si="29"/>
        <v>0</v>
      </c>
      <c r="AV530" s="88"/>
      <c r="AW530" s="88"/>
      <c r="AX530" s="88"/>
      <c r="AY530" s="88"/>
      <c r="AZ530" s="88"/>
    </row>
    <row r="531" spans="1:52" s="90" customFormat="1" ht="15" customHeight="1" x14ac:dyDescent="0.3">
      <c r="A531" s="114">
        <v>520</v>
      </c>
      <c r="B531" s="174" t="s">
        <v>1212</v>
      </c>
      <c r="C531" s="120" t="s">
        <v>804</v>
      </c>
      <c r="D531" s="88"/>
      <c r="E531" s="88"/>
      <c r="F531" s="120" t="s">
        <v>958</v>
      </c>
      <c r="G531" s="25" t="s">
        <v>145</v>
      </c>
      <c r="H531" s="85" t="s">
        <v>146</v>
      </c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116">
        <v>231.23</v>
      </c>
      <c r="V531" s="120">
        <v>307.89</v>
      </c>
      <c r="W531" s="120">
        <v>26.66</v>
      </c>
      <c r="X531" s="120" t="s">
        <v>207</v>
      </c>
      <c r="Y531" s="120">
        <v>27.63</v>
      </c>
      <c r="Z531" s="120" t="s">
        <v>207</v>
      </c>
      <c r="AA531" s="120">
        <v>27.13</v>
      </c>
      <c r="AB531" s="120" t="s">
        <v>207</v>
      </c>
      <c r="AC531" s="120">
        <v>25.21</v>
      </c>
      <c r="AD531" s="120" t="s">
        <v>207</v>
      </c>
      <c r="AE531" s="120">
        <v>9.84</v>
      </c>
      <c r="AF531" s="120" t="s">
        <v>207</v>
      </c>
      <c r="AG531" s="120">
        <v>4.67</v>
      </c>
      <c r="AH531" s="120" t="s">
        <v>207</v>
      </c>
      <c r="AI531" s="120">
        <v>4.58</v>
      </c>
      <c r="AJ531" s="118" t="s">
        <v>207</v>
      </c>
      <c r="AK531" s="120">
        <v>4.0999999999999996</v>
      </c>
      <c r="AL531" s="118" t="s">
        <v>207</v>
      </c>
      <c r="AM531" s="120">
        <v>7.21</v>
      </c>
      <c r="AN531" s="118" t="s">
        <v>207</v>
      </c>
      <c r="AO531" s="120">
        <v>27.67</v>
      </c>
      <c r="AP531" s="120" t="s">
        <v>207</v>
      </c>
      <c r="AQ531" s="120">
        <v>21.87</v>
      </c>
      <c r="AR531" s="120" t="s">
        <v>207</v>
      </c>
      <c r="AS531" s="120">
        <v>28.31</v>
      </c>
      <c r="AT531" s="120" t="s">
        <v>207</v>
      </c>
      <c r="AU531" s="118">
        <f t="shared" si="29"/>
        <v>214.88</v>
      </c>
      <c r="AV531" s="88"/>
      <c r="AW531" s="88"/>
      <c r="AX531" s="88"/>
      <c r="AY531" s="88"/>
      <c r="AZ531" s="88"/>
    </row>
    <row r="532" spans="1:52" s="90" customFormat="1" ht="15" customHeight="1" x14ac:dyDescent="0.3">
      <c r="A532" s="114">
        <v>521</v>
      </c>
      <c r="B532" s="174" t="s">
        <v>1213</v>
      </c>
      <c r="C532" s="120" t="s">
        <v>959</v>
      </c>
      <c r="D532" s="88"/>
      <c r="E532" s="88"/>
      <c r="F532" s="120" t="s">
        <v>958</v>
      </c>
      <c r="G532" s="25" t="s">
        <v>145</v>
      </c>
      <c r="H532" s="85" t="s">
        <v>146</v>
      </c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116"/>
      <c r="V532" s="120"/>
      <c r="W532" s="120"/>
      <c r="X532" s="120" t="s">
        <v>207</v>
      </c>
      <c r="Y532" s="120"/>
      <c r="Z532" s="120" t="s">
        <v>207</v>
      </c>
      <c r="AA532" s="120"/>
      <c r="AB532" s="120" t="s">
        <v>207</v>
      </c>
      <c r="AC532" s="120"/>
      <c r="AD532" s="120" t="s">
        <v>207</v>
      </c>
      <c r="AE532" s="120"/>
      <c r="AF532" s="120" t="s">
        <v>207</v>
      </c>
      <c r="AG532" s="120"/>
      <c r="AH532" s="120" t="s">
        <v>207</v>
      </c>
      <c r="AI532" s="120"/>
      <c r="AJ532" s="118" t="s">
        <v>207</v>
      </c>
      <c r="AK532" s="120"/>
      <c r="AL532" s="118" t="s">
        <v>207</v>
      </c>
      <c r="AM532" s="120"/>
      <c r="AN532" s="118" t="s">
        <v>207</v>
      </c>
      <c r="AO532" s="120"/>
      <c r="AP532" s="120" t="s">
        <v>207</v>
      </c>
      <c r="AQ532" s="120"/>
      <c r="AR532" s="120" t="s">
        <v>207</v>
      </c>
      <c r="AS532" s="120"/>
      <c r="AT532" s="120" t="s">
        <v>207</v>
      </c>
      <c r="AU532" s="118">
        <f t="shared" si="29"/>
        <v>0</v>
      </c>
      <c r="AV532" s="88"/>
      <c r="AW532" s="88"/>
      <c r="AX532" s="88"/>
      <c r="AY532" s="88"/>
      <c r="AZ532" s="88"/>
    </row>
    <row r="533" spans="1:52" s="90" customFormat="1" ht="15" customHeight="1" x14ac:dyDescent="0.3">
      <c r="A533" s="114">
        <v>522</v>
      </c>
      <c r="B533" s="174" t="s">
        <v>1214</v>
      </c>
      <c r="C533" s="120" t="s">
        <v>959</v>
      </c>
      <c r="D533" s="88"/>
      <c r="E533" s="88"/>
      <c r="F533" s="120" t="s">
        <v>958</v>
      </c>
      <c r="G533" s="25" t="s">
        <v>145</v>
      </c>
      <c r="H533" s="85" t="s">
        <v>146</v>
      </c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116"/>
      <c r="V533" s="120"/>
      <c r="W533" s="120"/>
      <c r="X533" s="120" t="s">
        <v>207</v>
      </c>
      <c r="Y533" s="120"/>
      <c r="Z533" s="120" t="s">
        <v>207</v>
      </c>
      <c r="AA533" s="120"/>
      <c r="AB533" s="120" t="s">
        <v>207</v>
      </c>
      <c r="AC533" s="120"/>
      <c r="AD533" s="120" t="s">
        <v>207</v>
      </c>
      <c r="AE533" s="120"/>
      <c r="AF533" s="120" t="s">
        <v>207</v>
      </c>
      <c r="AG533" s="120"/>
      <c r="AH533" s="120" t="s">
        <v>207</v>
      </c>
      <c r="AI533" s="120"/>
      <c r="AJ533" s="118" t="s">
        <v>207</v>
      </c>
      <c r="AK533" s="120"/>
      <c r="AL533" s="118" t="s">
        <v>207</v>
      </c>
      <c r="AM533" s="120"/>
      <c r="AN533" s="118" t="s">
        <v>207</v>
      </c>
      <c r="AO533" s="120"/>
      <c r="AP533" s="120" t="s">
        <v>207</v>
      </c>
      <c r="AQ533" s="120"/>
      <c r="AR533" s="120" t="s">
        <v>207</v>
      </c>
      <c r="AS533" s="120"/>
      <c r="AT533" s="120" t="s">
        <v>207</v>
      </c>
      <c r="AU533" s="118">
        <f t="shared" si="29"/>
        <v>0</v>
      </c>
      <c r="AV533" s="88"/>
      <c r="AW533" s="88"/>
      <c r="AX533" s="88"/>
      <c r="AY533" s="88"/>
      <c r="AZ533" s="88"/>
    </row>
    <row r="534" spans="1:52" s="90" customFormat="1" ht="15" customHeight="1" x14ac:dyDescent="0.3">
      <c r="A534" s="114">
        <v>523</v>
      </c>
      <c r="B534" s="174" t="s">
        <v>1215</v>
      </c>
      <c r="C534" s="120" t="s">
        <v>959</v>
      </c>
      <c r="D534" s="88"/>
      <c r="E534" s="88"/>
      <c r="F534" s="120" t="s">
        <v>958</v>
      </c>
      <c r="G534" s="25" t="s">
        <v>145</v>
      </c>
      <c r="H534" s="85" t="s">
        <v>146</v>
      </c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116"/>
      <c r="V534" s="120"/>
      <c r="W534" s="120"/>
      <c r="X534" s="120" t="s">
        <v>207</v>
      </c>
      <c r="Y534" s="120"/>
      <c r="Z534" s="120" t="s">
        <v>207</v>
      </c>
      <c r="AA534" s="120"/>
      <c r="AB534" s="120" t="s">
        <v>207</v>
      </c>
      <c r="AC534" s="120"/>
      <c r="AD534" s="120" t="s">
        <v>207</v>
      </c>
      <c r="AE534" s="120"/>
      <c r="AF534" s="120" t="s">
        <v>207</v>
      </c>
      <c r="AG534" s="120"/>
      <c r="AH534" s="120" t="s">
        <v>207</v>
      </c>
      <c r="AI534" s="120"/>
      <c r="AJ534" s="118" t="s">
        <v>207</v>
      </c>
      <c r="AK534" s="120"/>
      <c r="AL534" s="118" t="s">
        <v>207</v>
      </c>
      <c r="AM534" s="120"/>
      <c r="AN534" s="118" t="s">
        <v>207</v>
      </c>
      <c r="AO534" s="120"/>
      <c r="AP534" s="120" t="s">
        <v>207</v>
      </c>
      <c r="AQ534" s="120"/>
      <c r="AR534" s="120" t="s">
        <v>207</v>
      </c>
      <c r="AS534" s="120"/>
      <c r="AT534" s="120" t="s">
        <v>207</v>
      </c>
      <c r="AU534" s="118">
        <f t="shared" si="29"/>
        <v>0</v>
      </c>
      <c r="AV534" s="88"/>
      <c r="AW534" s="88"/>
      <c r="AX534" s="88"/>
      <c r="AY534" s="88"/>
      <c r="AZ534" s="88"/>
    </row>
    <row r="535" spans="1:52" s="90" customFormat="1" ht="15" customHeight="1" x14ac:dyDescent="0.3">
      <c r="A535" s="114">
        <v>524</v>
      </c>
      <c r="B535" s="174" t="s">
        <v>1216</v>
      </c>
      <c r="C535" s="120" t="s">
        <v>959</v>
      </c>
      <c r="D535" s="88"/>
      <c r="E535" s="88"/>
      <c r="F535" s="120" t="s">
        <v>958</v>
      </c>
      <c r="G535" s="25" t="s">
        <v>145</v>
      </c>
      <c r="H535" s="85" t="s">
        <v>146</v>
      </c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116">
        <v>123.32</v>
      </c>
      <c r="V535" s="120">
        <v>130.53</v>
      </c>
      <c r="W535" s="120">
        <v>25.77</v>
      </c>
      <c r="X535" s="120" t="s">
        <v>207</v>
      </c>
      <c r="Y535" s="120">
        <v>19.809999999999999</v>
      </c>
      <c r="Z535" s="120" t="s">
        <v>207</v>
      </c>
      <c r="AA535" s="120">
        <v>17.78</v>
      </c>
      <c r="AB535" s="120" t="s">
        <v>207</v>
      </c>
      <c r="AC535" s="120">
        <v>11.92</v>
      </c>
      <c r="AD535" s="120" t="s">
        <v>207</v>
      </c>
      <c r="AE535" s="120">
        <v>3.9</v>
      </c>
      <c r="AF535" s="120" t="s">
        <v>207</v>
      </c>
      <c r="AG535" s="120">
        <v>0</v>
      </c>
      <c r="AH535" s="120" t="s">
        <v>207</v>
      </c>
      <c r="AI535" s="120">
        <v>0</v>
      </c>
      <c r="AJ535" s="118" t="s">
        <v>207</v>
      </c>
      <c r="AK535" s="120">
        <v>0</v>
      </c>
      <c r="AL535" s="118" t="s">
        <v>207</v>
      </c>
      <c r="AM535" s="120">
        <v>2.2599999999999998</v>
      </c>
      <c r="AN535" s="118" t="s">
        <v>207</v>
      </c>
      <c r="AO535" s="120">
        <v>11.84</v>
      </c>
      <c r="AP535" s="120" t="s">
        <v>207</v>
      </c>
      <c r="AQ535" s="120">
        <v>13.68</v>
      </c>
      <c r="AR535" s="120" t="s">
        <v>207</v>
      </c>
      <c r="AS535" s="120">
        <v>16.36</v>
      </c>
      <c r="AT535" s="120" t="s">
        <v>207</v>
      </c>
      <c r="AU535" s="118">
        <f t="shared" si="29"/>
        <v>123.32000000000001</v>
      </c>
      <c r="AV535" s="88"/>
      <c r="AW535" s="88"/>
      <c r="AX535" s="88"/>
      <c r="AY535" s="88"/>
      <c r="AZ535" s="88"/>
    </row>
    <row r="536" spans="1:52" s="90" customFormat="1" ht="15" customHeight="1" x14ac:dyDescent="0.3">
      <c r="A536" s="114">
        <v>525</v>
      </c>
      <c r="B536" s="174" t="s">
        <v>1217</v>
      </c>
      <c r="C536" s="120" t="s">
        <v>804</v>
      </c>
      <c r="D536" s="88"/>
      <c r="E536" s="88"/>
      <c r="F536" s="120" t="s">
        <v>958</v>
      </c>
      <c r="G536" s="25" t="s">
        <v>145</v>
      </c>
      <c r="H536" s="85" t="s">
        <v>146</v>
      </c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116">
        <v>1705.22</v>
      </c>
      <c r="V536" s="120">
        <f>193.46+1676.48</f>
        <v>1869.94</v>
      </c>
      <c r="W536" s="120">
        <v>141.74</v>
      </c>
      <c r="X536" s="120" t="s">
        <v>207</v>
      </c>
      <c r="Y536" s="120">
        <v>140.99</v>
      </c>
      <c r="Z536" s="120" t="s">
        <v>207</v>
      </c>
      <c r="AA536" s="120">
        <v>145.13</v>
      </c>
      <c r="AB536" s="120" t="s">
        <v>207</v>
      </c>
      <c r="AC536" s="120">
        <v>112.74</v>
      </c>
      <c r="AD536" s="120" t="s">
        <v>207</v>
      </c>
      <c r="AE536" s="120">
        <v>54.06</v>
      </c>
      <c r="AF536" s="120" t="s">
        <v>207</v>
      </c>
      <c r="AG536" s="120">
        <v>27.43</v>
      </c>
      <c r="AH536" s="120" t="s">
        <v>207</v>
      </c>
      <c r="AI536" s="120">
        <v>32.840000000000003</v>
      </c>
      <c r="AJ536" s="118" t="s">
        <v>207</v>
      </c>
      <c r="AK536" s="120">
        <v>32.840000000000003</v>
      </c>
      <c r="AL536" s="118" t="s">
        <v>207</v>
      </c>
      <c r="AM536" s="120">
        <v>24.8</v>
      </c>
      <c r="AN536" s="118" t="s">
        <v>207</v>
      </c>
      <c r="AO536" s="120">
        <v>39.19</v>
      </c>
      <c r="AP536" s="120" t="s">
        <v>207</v>
      </c>
      <c r="AQ536" s="120">
        <v>130.74</v>
      </c>
      <c r="AR536" s="120" t="s">
        <v>207</v>
      </c>
      <c r="AS536" s="120">
        <v>115.45</v>
      </c>
      <c r="AT536" s="120" t="s">
        <v>207</v>
      </c>
      <c r="AU536" s="118">
        <f t="shared" si="29"/>
        <v>997.95</v>
      </c>
      <c r="AV536" s="88"/>
      <c r="AW536" s="88"/>
      <c r="AX536" s="88"/>
      <c r="AY536" s="88"/>
      <c r="AZ536" s="88"/>
    </row>
    <row r="537" spans="1:52" s="90" customFormat="1" ht="15" customHeight="1" x14ac:dyDescent="0.3">
      <c r="A537" s="114">
        <v>526</v>
      </c>
      <c r="B537" s="174" t="s">
        <v>1218</v>
      </c>
      <c r="C537" s="120" t="s">
        <v>959</v>
      </c>
      <c r="D537" s="88"/>
      <c r="E537" s="88"/>
      <c r="F537" s="120" t="s">
        <v>958</v>
      </c>
      <c r="G537" s="25" t="s">
        <v>145</v>
      </c>
      <c r="H537" s="85" t="s">
        <v>146</v>
      </c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116">
        <v>294.91000000000003</v>
      </c>
      <c r="V537" s="120">
        <v>487.46</v>
      </c>
      <c r="W537" s="120">
        <v>99.07</v>
      </c>
      <c r="X537" s="120" t="s">
        <v>207</v>
      </c>
      <c r="Y537" s="120">
        <v>73.959999999999994</v>
      </c>
      <c r="Z537" s="120" t="s">
        <v>207</v>
      </c>
      <c r="AA537" s="120">
        <v>66.47</v>
      </c>
      <c r="AB537" s="120" t="s">
        <v>207</v>
      </c>
      <c r="AC537" s="120">
        <v>44</v>
      </c>
      <c r="AD537" s="120" t="s">
        <v>207</v>
      </c>
      <c r="AE537" s="120">
        <v>14.41</v>
      </c>
      <c r="AF537" s="120" t="s">
        <v>207</v>
      </c>
      <c r="AG537" s="120">
        <v>0</v>
      </c>
      <c r="AH537" s="120" t="s">
        <v>207</v>
      </c>
      <c r="AI537" s="120">
        <v>0</v>
      </c>
      <c r="AJ537" s="118" t="s">
        <v>207</v>
      </c>
      <c r="AK537" s="120">
        <v>0</v>
      </c>
      <c r="AL537" s="118" t="s">
        <v>207</v>
      </c>
      <c r="AM537" s="120">
        <v>0</v>
      </c>
      <c r="AN537" s="118" t="s">
        <v>207</v>
      </c>
      <c r="AO537" s="120">
        <v>0</v>
      </c>
      <c r="AP537" s="120" t="s">
        <v>207</v>
      </c>
      <c r="AQ537" s="120">
        <v>0</v>
      </c>
      <c r="AR537" s="120" t="s">
        <v>207</v>
      </c>
      <c r="AS537" s="120">
        <v>0</v>
      </c>
      <c r="AT537" s="120" t="s">
        <v>207</v>
      </c>
      <c r="AU537" s="118">
        <f t="shared" si="29"/>
        <v>297.91000000000003</v>
      </c>
      <c r="AV537" s="88"/>
      <c r="AW537" s="88"/>
      <c r="AX537" s="88"/>
      <c r="AY537" s="88"/>
      <c r="AZ537" s="88"/>
    </row>
    <row r="538" spans="1:52" s="90" customFormat="1" ht="15" customHeight="1" x14ac:dyDescent="0.3">
      <c r="A538" s="114">
        <v>527</v>
      </c>
      <c r="B538" s="174" t="s">
        <v>1219</v>
      </c>
      <c r="C538" s="120" t="s">
        <v>804</v>
      </c>
      <c r="D538" s="88"/>
      <c r="E538" s="88"/>
      <c r="F538" s="120" t="s">
        <v>958</v>
      </c>
      <c r="G538" s="25" t="s">
        <v>145</v>
      </c>
      <c r="H538" s="85" t="s">
        <v>146</v>
      </c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116">
        <v>332.88</v>
      </c>
      <c r="V538" s="120">
        <v>408.41</v>
      </c>
      <c r="W538" s="120">
        <v>57.04</v>
      </c>
      <c r="X538" s="120" t="s">
        <v>207</v>
      </c>
      <c r="Y538" s="120">
        <v>37.35</v>
      </c>
      <c r="Z538" s="120" t="s">
        <v>207</v>
      </c>
      <c r="AA538" s="120">
        <v>47.66</v>
      </c>
      <c r="AB538" s="120" t="s">
        <v>207</v>
      </c>
      <c r="AC538" s="120">
        <v>25.84</v>
      </c>
      <c r="AD538" s="120" t="s">
        <v>207</v>
      </c>
      <c r="AE538" s="120">
        <v>10.61</v>
      </c>
      <c r="AF538" s="120" t="s">
        <v>207</v>
      </c>
      <c r="AG538" s="120">
        <v>3.77</v>
      </c>
      <c r="AH538" s="120" t="s">
        <v>207</v>
      </c>
      <c r="AI538" s="120">
        <v>5.08</v>
      </c>
      <c r="AJ538" s="118" t="s">
        <v>207</v>
      </c>
      <c r="AK538" s="120">
        <v>3.27</v>
      </c>
      <c r="AL538" s="118" t="s">
        <v>207</v>
      </c>
      <c r="AM538" s="120">
        <v>3.75</v>
      </c>
      <c r="AN538" s="118" t="s">
        <v>207</v>
      </c>
      <c r="AO538" s="120">
        <v>29.22</v>
      </c>
      <c r="AP538" s="120" t="s">
        <v>207</v>
      </c>
      <c r="AQ538" s="120">
        <v>35.11</v>
      </c>
      <c r="AR538" s="120" t="s">
        <v>207</v>
      </c>
      <c r="AS538" s="120">
        <v>37.53</v>
      </c>
      <c r="AT538" s="120" t="s">
        <v>207</v>
      </c>
      <c r="AU538" s="118">
        <f t="shared" si="29"/>
        <v>296.23</v>
      </c>
      <c r="AV538" s="88"/>
      <c r="AW538" s="88"/>
      <c r="AX538" s="88"/>
      <c r="AY538" s="88"/>
      <c r="AZ538" s="88"/>
    </row>
    <row r="539" spans="1:52" s="90" customFormat="1" ht="15" customHeight="1" x14ac:dyDescent="0.3">
      <c r="A539" s="114">
        <v>528</v>
      </c>
      <c r="B539" s="174" t="s">
        <v>1220</v>
      </c>
      <c r="C539" s="120" t="s">
        <v>959</v>
      </c>
      <c r="D539" s="88"/>
      <c r="E539" s="88"/>
      <c r="F539" s="120" t="s">
        <v>958</v>
      </c>
      <c r="G539" s="25" t="s">
        <v>145</v>
      </c>
      <c r="H539" s="85" t="s">
        <v>146</v>
      </c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116">
        <v>258.10000000000002</v>
      </c>
      <c r="V539" s="120">
        <v>347</v>
      </c>
      <c r="W539" s="120">
        <v>35.86</v>
      </c>
      <c r="X539" s="120" t="s">
        <v>207</v>
      </c>
      <c r="Y539" s="120">
        <v>38.08</v>
      </c>
      <c r="Z539" s="120" t="s">
        <v>207</v>
      </c>
      <c r="AA539" s="120">
        <v>41.12</v>
      </c>
      <c r="AB539" s="120" t="s">
        <v>207</v>
      </c>
      <c r="AC539" s="120">
        <v>33.61</v>
      </c>
      <c r="AD539" s="120" t="s">
        <v>207</v>
      </c>
      <c r="AE539" s="120">
        <v>15.81</v>
      </c>
      <c r="AF539" s="120" t="s">
        <v>207</v>
      </c>
      <c r="AG539" s="120">
        <v>4.66</v>
      </c>
      <c r="AH539" s="120" t="s">
        <v>207</v>
      </c>
      <c r="AI539" s="120">
        <v>2.56</v>
      </c>
      <c r="AJ539" s="118" t="s">
        <v>207</v>
      </c>
      <c r="AK539" s="120">
        <v>3.21</v>
      </c>
      <c r="AL539" s="118" t="s">
        <v>207</v>
      </c>
      <c r="AM539" s="120">
        <v>5.48</v>
      </c>
      <c r="AN539" s="118" t="s">
        <v>207</v>
      </c>
      <c r="AO539" s="120">
        <v>13.52</v>
      </c>
      <c r="AP539" s="120" t="s">
        <v>207</v>
      </c>
      <c r="AQ539" s="120">
        <v>26</v>
      </c>
      <c r="AR539" s="120" t="s">
        <v>207</v>
      </c>
      <c r="AS539" s="120">
        <v>29.36</v>
      </c>
      <c r="AT539" s="120" t="s">
        <v>207</v>
      </c>
      <c r="AU539" s="118">
        <f t="shared" si="29"/>
        <v>249.27000000000004</v>
      </c>
      <c r="AV539" s="88"/>
      <c r="AW539" s="88"/>
      <c r="AX539" s="88"/>
      <c r="AY539" s="88"/>
      <c r="AZ539" s="88"/>
    </row>
    <row r="540" spans="1:52" s="90" customFormat="1" ht="15" customHeight="1" x14ac:dyDescent="0.3">
      <c r="A540" s="114">
        <v>529</v>
      </c>
      <c r="B540" s="174" t="s">
        <v>1221</v>
      </c>
      <c r="C540" s="120" t="s">
        <v>804</v>
      </c>
      <c r="D540" s="88"/>
      <c r="E540" s="88"/>
      <c r="F540" s="120" t="s">
        <v>958</v>
      </c>
      <c r="G540" s="25" t="s">
        <v>145</v>
      </c>
      <c r="H540" s="85" t="s">
        <v>146</v>
      </c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116">
        <v>231.89</v>
      </c>
      <c r="V540" s="120">
        <v>278.26</v>
      </c>
      <c r="W540" s="120">
        <v>51.13</v>
      </c>
      <c r="X540" s="120" t="s">
        <v>207</v>
      </c>
      <c r="Y540" s="120">
        <v>37.229999999999997</v>
      </c>
      <c r="Z540" s="120" t="s">
        <v>207</v>
      </c>
      <c r="AA540" s="120">
        <v>51.03</v>
      </c>
      <c r="AB540" s="120" t="s">
        <v>207</v>
      </c>
      <c r="AC540" s="120">
        <v>34.46</v>
      </c>
      <c r="AD540" s="120" t="s">
        <v>207</v>
      </c>
      <c r="AE540" s="120">
        <v>13.35</v>
      </c>
      <c r="AF540" s="120" t="s">
        <v>207</v>
      </c>
      <c r="AG540" s="120">
        <v>5.55</v>
      </c>
      <c r="AH540" s="120" t="s">
        <v>207</v>
      </c>
      <c r="AI540" s="120">
        <v>5.39</v>
      </c>
      <c r="AJ540" s="118" t="s">
        <v>207</v>
      </c>
      <c r="AK540" s="120">
        <v>4.0199999999999996</v>
      </c>
      <c r="AL540" s="118" t="s">
        <v>207</v>
      </c>
      <c r="AM540" s="120">
        <v>8.43</v>
      </c>
      <c r="AN540" s="118" t="s">
        <v>207</v>
      </c>
      <c r="AO540" s="120">
        <v>33.54</v>
      </c>
      <c r="AP540" s="120" t="s">
        <v>207</v>
      </c>
      <c r="AQ540" s="120">
        <v>33.29</v>
      </c>
      <c r="AR540" s="120" t="s">
        <v>207</v>
      </c>
      <c r="AS540" s="120">
        <v>54.56</v>
      </c>
      <c r="AT540" s="120" t="s">
        <v>207</v>
      </c>
      <c r="AU540" s="118">
        <f t="shared" si="29"/>
        <v>331.98</v>
      </c>
      <c r="AV540" s="88"/>
      <c r="AW540" s="88"/>
      <c r="AX540" s="88"/>
      <c r="AY540" s="88"/>
      <c r="AZ540" s="88"/>
    </row>
    <row r="541" spans="1:52" s="90" customFormat="1" ht="15" customHeight="1" x14ac:dyDescent="0.3">
      <c r="A541" s="114">
        <v>530</v>
      </c>
      <c r="B541" s="174" t="s">
        <v>1222</v>
      </c>
      <c r="C541" s="120" t="s">
        <v>804</v>
      </c>
      <c r="D541" s="88"/>
      <c r="E541" s="88"/>
      <c r="F541" s="120" t="s">
        <v>958</v>
      </c>
      <c r="G541" s="25" t="s">
        <v>145</v>
      </c>
      <c r="H541" s="85" t="s">
        <v>146</v>
      </c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116">
        <v>385.19</v>
      </c>
      <c r="V541" s="120">
        <v>454.42</v>
      </c>
      <c r="W541" s="120">
        <v>80.42</v>
      </c>
      <c r="X541" s="120" t="s">
        <v>207</v>
      </c>
      <c r="Y541" s="120">
        <v>58.52</v>
      </c>
      <c r="Z541" s="120" t="s">
        <v>207</v>
      </c>
      <c r="AA541" s="120">
        <v>80.42</v>
      </c>
      <c r="AB541" s="120" t="s">
        <v>207</v>
      </c>
      <c r="AC541" s="120">
        <v>54.25</v>
      </c>
      <c r="AD541" s="120" t="s">
        <v>207</v>
      </c>
      <c r="AE541" s="120">
        <v>20.53</v>
      </c>
      <c r="AF541" s="120" t="s">
        <v>207</v>
      </c>
      <c r="AG541" s="120">
        <v>13.68</v>
      </c>
      <c r="AH541" s="120" t="s">
        <v>207</v>
      </c>
      <c r="AI541" s="120">
        <v>13.62</v>
      </c>
      <c r="AJ541" s="118" t="s">
        <v>207</v>
      </c>
      <c r="AK541" s="120">
        <v>9.9499999999999993</v>
      </c>
      <c r="AL541" s="118" t="s">
        <v>207</v>
      </c>
      <c r="AM541" s="120">
        <v>12.85</v>
      </c>
      <c r="AN541" s="118" t="s">
        <v>207</v>
      </c>
      <c r="AO541" s="120">
        <v>51.64</v>
      </c>
      <c r="AP541" s="120" t="s">
        <v>207</v>
      </c>
      <c r="AQ541" s="120">
        <v>51.41</v>
      </c>
      <c r="AR541" s="120" t="s">
        <v>207</v>
      </c>
      <c r="AS541" s="120">
        <v>85.5</v>
      </c>
      <c r="AT541" s="120" t="s">
        <v>207</v>
      </c>
      <c r="AU541" s="118">
        <f t="shared" si="29"/>
        <v>532.79</v>
      </c>
      <c r="AV541" s="88"/>
      <c r="AW541" s="88"/>
      <c r="AX541" s="88"/>
      <c r="AY541" s="88"/>
      <c r="AZ541" s="88"/>
    </row>
    <row r="542" spans="1:52" s="90" customFormat="1" ht="15" customHeight="1" x14ac:dyDescent="0.3">
      <c r="A542" s="114">
        <v>531</v>
      </c>
      <c r="B542" s="174" t="s">
        <v>1223</v>
      </c>
      <c r="C542" s="120" t="s">
        <v>804</v>
      </c>
      <c r="D542" s="88"/>
      <c r="E542" s="88"/>
      <c r="F542" s="120" t="s">
        <v>958</v>
      </c>
      <c r="G542" s="25" t="s">
        <v>145</v>
      </c>
      <c r="H542" s="85" t="s">
        <v>146</v>
      </c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116">
        <v>335.11</v>
      </c>
      <c r="V542" s="120">
        <v>288.83999999999997</v>
      </c>
      <c r="W542" s="120">
        <v>56.86</v>
      </c>
      <c r="X542" s="120" t="s">
        <v>207</v>
      </c>
      <c r="Y542" s="120">
        <v>49</v>
      </c>
      <c r="Z542" s="120" t="s">
        <v>207</v>
      </c>
      <c r="AA542" s="120">
        <v>66.19</v>
      </c>
      <c r="AB542" s="120" t="s">
        <v>207</v>
      </c>
      <c r="AC542" s="120">
        <v>39.1</v>
      </c>
      <c r="AD542" s="120" t="s">
        <v>207</v>
      </c>
      <c r="AE542" s="120">
        <v>9.01</v>
      </c>
      <c r="AF542" s="120" t="s">
        <v>207</v>
      </c>
      <c r="AG542" s="120">
        <v>4.76</v>
      </c>
      <c r="AH542" s="120" t="s">
        <v>207</v>
      </c>
      <c r="AI542" s="120">
        <v>4.9000000000000004</v>
      </c>
      <c r="AJ542" s="118" t="s">
        <v>207</v>
      </c>
      <c r="AK542" s="120">
        <v>3.58</v>
      </c>
      <c r="AL542" s="118" t="s">
        <v>207</v>
      </c>
      <c r="AM542" s="120">
        <v>6.45</v>
      </c>
      <c r="AN542" s="118" t="s">
        <v>207</v>
      </c>
      <c r="AO542" s="120">
        <v>95.4</v>
      </c>
      <c r="AP542" s="120" t="s">
        <v>207</v>
      </c>
      <c r="AQ542" s="120">
        <v>82.33</v>
      </c>
      <c r="AR542" s="120" t="s">
        <v>207</v>
      </c>
      <c r="AS542" s="120">
        <v>41.59</v>
      </c>
      <c r="AT542" s="120" t="s">
        <v>207</v>
      </c>
      <c r="AU542" s="118">
        <f t="shared" si="29"/>
        <v>459.16999999999996</v>
      </c>
      <c r="AV542" s="88"/>
      <c r="AW542" s="88"/>
      <c r="AX542" s="88"/>
      <c r="AY542" s="88"/>
      <c r="AZ542" s="88"/>
    </row>
    <row r="543" spans="1:52" s="90" customFormat="1" ht="15" customHeight="1" x14ac:dyDescent="0.3">
      <c r="A543" s="114">
        <v>532</v>
      </c>
      <c r="B543" s="174" t="s">
        <v>1224</v>
      </c>
      <c r="C543" s="120" t="s">
        <v>804</v>
      </c>
      <c r="D543" s="88"/>
      <c r="E543" s="88"/>
      <c r="F543" s="120" t="s">
        <v>958</v>
      </c>
      <c r="G543" s="25" t="s">
        <v>145</v>
      </c>
      <c r="H543" s="85" t="s">
        <v>146</v>
      </c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116">
        <v>243.11</v>
      </c>
      <c r="V543" s="120">
        <v>289.87</v>
      </c>
      <c r="W543" s="120">
        <v>52.51</v>
      </c>
      <c r="X543" s="120" t="s">
        <v>207</v>
      </c>
      <c r="Y543" s="120">
        <v>38.21</v>
      </c>
      <c r="Z543" s="120" t="s">
        <v>207</v>
      </c>
      <c r="AA543" s="120">
        <v>52.51</v>
      </c>
      <c r="AB543" s="120" t="s">
        <v>207</v>
      </c>
      <c r="AC543" s="120">
        <v>35.43</v>
      </c>
      <c r="AD543" s="120" t="s">
        <v>207</v>
      </c>
      <c r="AE543" s="120">
        <v>13.56</v>
      </c>
      <c r="AF543" s="120" t="s">
        <v>207</v>
      </c>
      <c r="AG543" s="120">
        <v>6.94</v>
      </c>
      <c r="AH543" s="120" t="s">
        <v>207</v>
      </c>
      <c r="AI543" s="120">
        <v>6.76</v>
      </c>
      <c r="AJ543" s="118" t="s">
        <v>207</v>
      </c>
      <c r="AK543" s="120">
        <v>4.93</v>
      </c>
      <c r="AL543" s="118" t="s">
        <v>207</v>
      </c>
      <c r="AM543" s="120">
        <v>7.77</v>
      </c>
      <c r="AN543" s="118" t="s">
        <v>207</v>
      </c>
      <c r="AO543" s="120">
        <v>34.17</v>
      </c>
      <c r="AP543" s="120" t="s">
        <v>207</v>
      </c>
      <c r="AQ543" s="120">
        <v>33.909999999999997</v>
      </c>
      <c r="AR543" s="120" t="s">
        <v>207</v>
      </c>
      <c r="AS543" s="120">
        <v>56</v>
      </c>
      <c r="AT543" s="120" t="s">
        <v>207</v>
      </c>
      <c r="AU543" s="118">
        <f t="shared" si="29"/>
        <v>342.70000000000005</v>
      </c>
      <c r="AV543" s="88"/>
      <c r="AW543" s="88"/>
      <c r="AX543" s="88"/>
      <c r="AY543" s="88"/>
      <c r="AZ543" s="88"/>
    </row>
    <row r="544" spans="1:52" s="90" customFormat="1" ht="15" customHeight="1" x14ac:dyDescent="0.3">
      <c r="A544" s="114">
        <v>533</v>
      </c>
      <c r="B544" s="174" t="s">
        <v>1225</v>
      </c>
      <c r="C544" s="120" t="s">
        <v>804</v>
      </c>
      <c r="D544" s="88"/>
      <c r="E544" s="88"/>
      <c r="F544" s="120" t="s">
        <v>958</v>
      </c>
      <c r="G544" s="25" t="s">
        <v>145</v>
      </c>
      <c r="H544" s="85" t="s">
        <v>146</v>
      </c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116">
        <v>454.68</v>
      </c>
      <c r="V544" s="120">
        <v>536.98</v>
      </c>
      <c r="W544" s="120">
        <v>106.1</v>
      </c>
      <c r="X544" s="120" t="s">
        <v>207</v>
      </c>
      <c r="Y544" s="120">
        <v>91.4</v>
      </c>
      <c r="Z544" s="120" t="s">
        <v>207</v>
      </c>
      <c r="AA544" s="120">
        <v>123.29</v>
      </c>
      <c r="AB544" s="120" t="s">
        <v>207</v>
      </c>
      <c r="AC544" s="120">
        <v>72.930000000000007</v>
      </c>
      <c r="AD544" s="120" t="s">
        <v>207</v>
      </c>
      <c r="AE544" s="120">
        <v>16.95</v>
      </c>
      <c r="AF544" s="120" t="s">
        <v>207</v>
      </c>
      <c r="AG544" s="120">
        <v>7.89</v>
      </c>
      <c r="AH544" s="120" t="s">
        <v>207</v>
      </c>
      <c r="AI544" s="120">
        <v>8.1300000000000008</v>
      </c>
      <c r="AJ544" s="118" t="s">
        <v>207</v>
      </c>
      <c r="AK544" s="120">
        <v>5.93</v>
      </c>
      <c r="AL544" s="118" t="s">
        <v>207</v>
      </c>
      <c r="AM544" s="120">
        <v>11.83</v>
      </c>
      <c r="AN544" s="118" t="s">
        <v>207</v>
      </c>
      <c r="AO544" s="120">
        <v>180.76</v>
      </c>
      <c r="AP544" s="120" t="s">
        <v>207</v>
      </c>
      <c r="AQ544" s="120">
        <v>155.21</v>
      </c>
      <c r="AR544" s="120" t="s">
        <v>207</v>
      </c>
      <c r="AS544" s="120">
        <v>77.58</v>
      </c>
      <c r="AT544" s="120" t="s">
        <v>207</v>
      </c>
      <c r="AU544" s="118">
        <f t="shared" si="29"/>
        <v>858.00000000000011</v>
      </c>
      <c r="AV544" s="88"/>
      <c r="AW544" s="88"/>
      <c r="AX544" s="88"/>
      <c r="AY544" s="88"/>
      <c r="AZ544" s="88"/>
    </row>
    <row r="545" spans="1:52" s="90" customFormat="1" ht="15" customHeight="1" x14ac:dyDescent="0.3">
      <c r="A545" s="114">
        <v>534</v>
      </c>
      <c r="B545" s="174" t="s">
        <v>1226</v>
      </c>
      <c r="C545" s="120" t="s">
        <v>804</v>
      </c>
      <c r="D545" s="88"/>
      <c r="E545" s="88"/>
      <c r="F545" s="120" t="s">
        <v>958</v>
      </c>
      <c r="G545" s="25" t="s">
        <v>145</v>
      </c>
      <c r="H545" s="85" t="s">
        <v>146</v>
      </c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116">
        <v>725.56</v>
      </c>
      <c r="V545" s="120">
        <v>904.79</v>
      </c>
      <c r="W545" s="120">
        <v>115.71</v>
      </c>
      <c r="X545" s="120" t="s">
        <v>207</v>
      </c>
      <c r="Y545" s="120">
        <v>92.92</v>
      </c>
      <c r="Z545" s="120" t="s">
        <v>207</v>
      </c>
      <c r="AA545" s="120">
        <v>104.87</v>
      </c>
      <c r="AB545" s="120" t="s">
        <v>207</v>
      </c>
      <c r="AC545" s="120">
        <v>66.790000000000006</v>
      </c>
      <c r="AD545" s="120" t="s">
        <v>207</v>
      </c>
      <c r="AE545" s="120">
        <v>27.29</v>
      </c>
      <c r="AF545" s="120" t="s">
        <v>207</v>
      </c>
      <c r="AG545" s="120">
        <v>13.92</v>
      </c>
      <c r="AH545" s="120" t="s">
        <v>207</v>
      </c>
      <c r="AI545" s="120">
        <v>12.15</v>
      </c>
      <c r="AJ545" s="118" t="s">
        <v>207</v>
      </c>
      <c r="AK545" s="120">
        <v>9.5299999999999994</v>
      </c>
      <c r="AL545" s="118" t="s">
        <v>207</v>
      </c>
      <c r="AM545" s="120">
        <v>12.33</v>
      </c>
      <c r="AN545" s="118" t="s">
        <v>207</v>
      </c>
      <c r="AO545" s="120">
        <v>65.05</v>
      </c>
      <c r="AP545" s="120" t="s">
        <v>207</v>
      </c>
      <c r="AQ545" s="120">
        <v>53.65</v>
      </c>
      <c r="AR545" s="120" t="s">
        <v>207</v>
      </c>
      <c r="AS545" s="120">
        <v>75.22</v>
      </c>
      <c r="AT545" s="120" t="s">
        <v>207</v>
      </c>
      <c r="AU545" s="118">
        <f t="shared" si="29"/>
        <v>649.42999999999995</v>
      </c>
      <c r="AV545" s="88"/>
      <c r="AW545" s="88"/>
      <c r="AX545" s="88"/>
      <c r="AY545" s="88"/>
      <c r="AZ545" s="88"/>
    </row>
    <row r="546" spans="1:52" s="90" customFormat="1" ht="15" customHeight="1" x14ac:dyDescent="0.3">
      <c r="A546" s="114">
        <v>535</v>
      </c>
      <c r="B546" s="174" t="s">
        <v>1227</v>
      </c>
      <c r="C546" s="120" t="s">
        <v>804</v>
      </c>
      <c r="D546" s="88"/>
      <c r="E546" s="88"/>
      <c r="F546" s="120" t="s">
        <v>958</v>
      </c>
      <c r="G546" s="25" t="s">
        <v>145</v>
      </c>
      <c r="H546" s="85" t="s">
        <v>146</v>
      </c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116">
        <v>478.54</v>
      </c>
      <c r="V546" s="120">
        <v>526.89</v>
      </c>
      <c r="W546" s="120">
        <v>60.4</v>
      </c>
      <c r="X546" s="120" t="s">
        <v>207</v>
      </c>
      <c r="Y546" s="120">
        <v>67.099999999999994</v>
      </c>
      <c r="Z546" s="120" t="s">
        <v>207</v>
      </c>
      <c r="AA546" s="120">
        <v>60.12</v>
      </c>
      <c r="AB546" s="120" t="s">
        <v>207</v>
      </c>
      <c r="AC546" s="120">
        <v>0</v>
      </c>
      <c r="AD546" s="120" t="s">
        <v>207</v>
      </c>
      <c r="AE546" s="120">
        <v>26.24</v>
      </c>
      <c r="AF546" s="120" t="s">
        <v>207</v>
      </c>
      <c r="AG546" s="120">
        <v>9.02</v>
      </c>
      <c r="AH546" s="120" t="s">
        <v>207</v>
      </c>
      <c r="AI546" s="120">
        <v>6.22</v>
      </c>
      <c r="AJ546" s="118" t="s">
        <v>207</v>
      </c>
      <c r="AK546" s="120">
        <v>7.17</v>
      </c>
      <c r="AL546" s="118" t="s">
        <v>207</v>
      </c>
      <c r="AM546" s="120">
        <v>9.41</v>
      </c>
      <c r="AN546" s="118" t="s">
        <v>207</v>
      </c>
      <c r="AO546" s="120">
        <v>32.17</v>
      </c>
      <c r="AP546" s="120" t="s">
        <v>207</v>
      </c>
      <c r="AQ546" s="120">
        <v>53.89</v>
      </c>
      <c r="AR546" s="120" t="s">
        <v>207</v>
      </c>
      <c r="AS546" s="120">
        <v>50.2</v>
      </c>
      <c r="AT546" s="120" t="s">
        <v>207</v>
      </c>
      <c r="AU546" s="118">
        <f t="shared" si="29"/>
        <v>381.94</v>
      </c>
      <c r="AV546" s="88"/>
      <c r="AW546" s="88"/>
      <c r="AX546" s="88"/>
      <c r="AY546" s="88"/>
      <c r="AZ546" s="88"/>
    </row>
    <row r="547" spans="1:52" s="90" customFormat="1" ht="15" customHeight="1" x14ac:dyDescent="0.3">
      <c r="A547" s="114">
        <v>536</v>
      </c>
      <c r="B547" s="174" t="s">
        <v>1228</v>
      </c>
      <c r="C547" s="120" t="s">
        <v>959</v>
      </c>
      <c r="D547" s="88"/>
      <c r="E547" s="88"/>
      <c r="F547" s="120" t="s">
        <v>958</v>
      </c>
      <c r="G547" s="25" t="s">
        <v>145</v>
      </c>
      <c r="H547" s="85" t="s">
        <v>146</v>
      </c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116">
        <v>529.1</v>
      </c>
      <c r="V547" s="120">
        <v>585.76</v>
      </c>
      <c r="W547" s="120">
        <v>65.31</v>
      </c>
      <c r="X547" s="120" t="s">
        <v>207</v>
      </c>
      <c r="Y547" s="120">
        <v>72.290000000000006</v>
      </c>
      <c r="Z547" s="120" t="s">
        <v>207</v>
      </c>
      <c r="AA547" s="120">
        <v>66.31</v>
      </c>
      <c r="AB547" s="120" t="s">
        <v>207</v>
      </c>
      <c r="AC547" s="120">
        <v>51.36</v>
      </c>
      <c r="AD547" s="120" t="s">
        <v>207</v>
      </c>
      <c r="AE547" s="120">
        <v>31.13</v>
      </c>
      <c r="AF547" s="120" t="s">
        <v>207</v>
      </c>
      <c r="AG547" s="120">
        <v>12.07</v>
      </c>
      <c r="AH547" s="120" t="s">
        <v>207</v>
      </c>
      <c r="AI547" s="120">
        <v>8.34</v>
      </c>
      <c r="AJ547" s="118" t="s">
        <v>207</v>
      </c>
      <c r="AK547" s="120">
        <v>9.6</v>
      </c>
      <c r="AL547" s="118" t="s">
        <v>207</v>
      </c>
      <c r="AM547" s="120">
        <v>12.01</v>
      </c>
      <c r="AN547" s="118" t="s">
        <v>207</v>
      </c>
      <c r="AO547" s="120">
        <v>27.38</v>
      </c>
      <c r="AP547" s="120" t="s">
        <v>207</v>
      </c>
      <c r="AQ547" s="120">
        <v>60.66</v>
      </c>
      <c r="AR547" s="120" t="s">
        <v>207</v>
      </c>
      <c r="AS547" s="120">
        <v>55.72</v>
      </c>
      <c r="AT547" s="120" t="s">
        <v>207</v>
      </c>
      <c r="AU547" s="118">
        <f t="shared" si="29"/>
        <v>472.18000000000006</v>
      </c>
      <c r="AV547" s="88"/>
      <c r="AW547" s="88"/>
      <c r="AX547" s="88"/>
      <c r="AY547" s="88"/>
      <c r="AZ547" s="88"/>
    </row>
    <row r="548" spans="1:52" s="90" customFormat="1" ht="15" customHeight="1" x14ac:dyDescent="0.3">
      <c r="A548" s="114">
        <v>537</v>
      </c>
      <c r="B548" s="174" t="s">
        <v>1229</v>
      </c>
      <c r="C548" s="120" t="s">
        <v>959</v>
      </c>
      <c r="D548" s="88"/>
      <c r="E548" s="88"/>
      <c r="F548" s="120" t="s">
        <v>958</v>
      </c>
      <c r="G548" s="25" t="s">
        <v>145</v>
      </c>
      <c r="H548" s="85" t="s">
        <v>146</v>
      </c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116">
        <v>173.41</v>
      </c>
      <c r="V548" s="120">
        <v>197.66</v>
      </c>
      <c r="W548" s="120">
        <v>39.31</v>
      </c>
      <c r="X548" s="120" t="s">
        <v>207</v>
      </c>
      <c r="Y548" s="120">
        <v>30.18</v>
      </c>
      <c r="Z548" s="120" t="s">
        <v>207</v>
      </c>
      <c r="AA548" s="120">
        <v>29.07</v>
      </c>
      <c r="AB548" s="120" t="s">
        <v>207</v>
      </c>
      <c r="AC548" s="120">
        <v>0</v>
      </c>
      <c r="AD548" s="120" t="s">
        <v>207</v>
      </c>
      <c r="AE548" s="120">
        <v>0</v>
      </c>
      <c r="AF548" s="120" t="s">
        <v>207</v>
      </c>
      <c r="AG548" s="120">
        <v>0</v>
      </c>
      <c r="AH548" s="120" t="s">
        <v>207</v>
      </c>
      <c r="AI548" s="120">
        <v>0</v>
      </c>
      <c r="AJ548" s="118" t="s">
        <v>207</v>
      </c>
      <c r="AK548" s="120">
        <v>0</v>
      </c>
      <c r="AL548" s="118" t="s">
        <v>207</v>
      </c>
      <c r="AM548" s="120">
        <v>8.93</v>
      </c>
      <c r="AN548" s="118" t="s">
        <v>207</v>
      </c>
      <c r="AO548" s="120">
        <v>20.61</v>
      </c>
      <c r="AP548" s="120" t="s">
        <v>207</v>
      </c>
      <c r="AQ548" s="120">
        <v>21.19</v>
      </c>
      <c r="AR548" s="120" t="s">
        <v>207</v>
      </c>
      <c r="AS548" s="120">
        <v>24.18</v>
      </c>
      <c r="AT548" s="120" t="s">
        <v>207</v>
      </c>
      <c r="AU548" s="118">
        <f t="shared" si="29"/>
        <v>173.47000000000003</v>
      </c>
      <c r="AV548" s="88"/>
      <c r="AW548" s="88"/>
      <c r="AX548" s="88"/>
      <c r="AY548" s="88"/>
      <c r="AZ548" s="88"/>
    </row>
    <row r="549" spans="1:52" s="90" customFormat="1" ht="15" customHeight="1" x14ac:dyDescent="0.3">
      <c r="A549" s="114">
        <v>538</v>
      </c>
      <c r="B549" s="174" t="s">
        <v>1230</v>
      </c>
      <c r="C549" s="120" t="s">
        <v>959</v>
      </c>
      <c r="D549" s="88"/>
      <c r="E549" s="88"/>
      <c r="F549" s="120" t="s">
        <v>958</v>
      </c>
      <c r="G549" s="25" t="s">
        <v>145</v>
      </c>
      <c r="H549" s="85" t="s">
        <v>146</v>
      </c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116">
        <v>184.59</v>
      </c>
      <c r="V549" s="120">
        <v>230.48</v>
      </c>
      <c r="W549" s="120">
        <v>33.76</v>
      </c>
      <c r="X549" s="120" t="s">
        <v>207</v>
      </c>
      <c r="Y549" s="120">
        <v>36.950000000000003</v>
      </c>
      <c r="Z549" s="120" t="s">
        <v>207</v>
      </c>
      <c r="AA549" s="120">
        <v>33.700000000000003</v>
      </c>
      <c r="AB549" s="120" t="s">
        <v>207</v>
      </c>
      <c r="AC549" s="120">
        <v>0</v>
      </c>
      <c r="AD549" s="120" t="s">
        <v>207</v>
      </c>
      <c r="AE549" s="120">
        <v>0</v>
      </c>
      <c r="AF549" s="120" t="s">
        <v>207</v>
      </c>
      <c r="AG549" s="120">
        <v>2.3199999999999998</v>
      </c>
      <c r="AH549" s="120" t="s">
        <v>207</v>
      </c>
      <c r="AI549" s="120">
        <v>1.27</v>
      </c>
      <c r="AJ549" s="118" t="s">
        <v>207</v>
      </c>
      <c r="AK549" s="120">
        <v>1.46</v>
      </c>
      <c r="AL549" s="118" t="s">
        <v>207</v>
      </c>
      <c r="AM549" s="120">
        <v>2.5</v>
      </c>
      <c r="AN549" s="118" t="s">
        <v>207</v>
      </c>
      <c r="AO549" s="120">
        <v>17.96</v>
      </c>
      <c r="AP549" s="120" t="s">
        <v>207</v>
      </c>
      <c r="AQ549" s="120">
        <v>20.64</v>
      </c>
      <c r="AR549" s="120" t="s">
        <v>207</v>
      </c>
      <c r="AS549" s="120">
        <v>23.09</v>
      </c>
      <c r="AT549" s="120" t="s">
        <v>207</v>
      </c>
      <c r="AU549" s="118">
        <f t="shared" si="29"/>
        <v>173.65</v>
      </c>
      <c r="AV549" s="88"/>
      <c r="AW549" s="88"/>
      <c r="AX549" s="88"/>
      <c r="AY549" s="88"/>
      <c r="AZ549" s="88"/>
    </row>
    <row r="550" spans="1:52" s="90" customFormat="1" ht="15" customHeight="1" x14ac:dyDescent="0.3">
      <c r="A550" s="114">
        <v>539</v>
      </c>
      <c r="B550" s="174" t="s">
        <v>1231</v>
      </c>
      <c r="C550" s="120" t="s">
        <v>959</v>
      </c>
      <c r="D550" s="88"/>
      <c r="E550" s="88"/>
      <c r="F550" s="120" t="s">
        <v>958</v>
      </c>
      <c r="G550" s="25" t="s">
        <v>145</v>
      </c>
      <c r="H550" s="85" t="s">
        <v>146</v>
      </c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116">
        <v>448.61</v>
      </c>
      <c r="V550" s="120">
        <v>501.9</v>
      </c>
      <c r="W550" s="120">
        <v>101.38</v>
      </c>
      <c r="X550" s="120" t="s">
        <v>207</v>
      </c>
      <c r="Y550" s="120">
        <v>77.760000000000005</v>
      </c>
      <c r="Z550" s="120" t="s">
        <v>207</v>
      </c>
      <c r="AA550" s="120">
        <v>74.25</v>
      </c>
      <c r="AB550" s="120" t="s">
        <v>207</v>
      </c>
      <c r="AC550" s="120">
        <v>48.18</v>
      </c>
      <c r="AD550" s="120" t="s">
        <v>207</v>
      </c>
      <c r="AE550" s="120">
        <v>29.2</v>
      </c>
      <c r="AF550" s="120" t="s">
        <v>207</v>
      </c>
      <c r="AG550" s="120">
        <v>14.5</v>
      </c>
      <c r="AH550" s="120" t="s">
        <v>207</v>
      </c>
      <c r="AI550" s="120">
        <v>12.59</v>
      </c>
      <c r="AJ550" s="118" t="s">
        <v>207</v>
      </c>
      <c r="AK550" s="120">
        <v>10.41</v>
      </c>
      <c r="AL550" s="118" t="s">
        <v>207</v>
      </c>
      <c r="AM550" s="120">
        <v>20.47</v>
      </c>
      <c r="AN550" s="118" t="s">
        <v>207</v>
      </c>
      <c r="AO550" s="120">
        <v>0</v>
      </c>
      <c r="AP550" s="120" t="s">
        <v>207</v>
      </c>
      <c r="AQ550" s="120">
        <v>122.43</v>
      </c>
      <c r="AR550" s="120" t="s">
        <v>207</v>
      </c>
      <c r="AS550" s="120">
        <v>70.459999999999994</v>
      </c>
      <c r="AT550" s="120" t="s">
        <v>207</v>
      </c>
      <c r="AU550" s="118">
        <f t="shared" si="29"/>
        <v>581.63</v>
      </c>
      <c r="AV550" s="88"/>
      <c r="AW550" s="88"/>
      <c r="AX550" s="88"/>
      <c r="AY550" s="88"/>
      <c r="AZ550" s="88"/>
    </row>
    <row r="551" spans="1:52" s="90" customFormat="1" ht="15" customHeight="1" x14ac:dyDescent="0.3">
      <c r="A551" s="114">
        <v>540</v>
      </c>
      <c r="B551" s="174" t="s">
        <v>1232</v>
      </c>
      <c r="C551" s="120" t="s">
        <v>959</v>
      </c>
      <c r="D551" s="88"/>
      <c r="E551" s="88"/>
      <c r="F551" s="120" t="s">
        <v>958</v>
      </c>
      <c r="G551" s="25" t="s">
        <v>145</v>
      </c>
      <c r="H551" s="85" t="s">
        <v>146</v>
      </c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116">
        <v>543.12</v>
      </c>
      <c r="V551" s="120">
        <v>639.4</v>
      </c>
      <c r="W551" s="120">
        <v>86.45</v>
      </c>
      <c r="X551" s="120" t="s">
        <v>207</v>
      </c>
      <c r="Y551" s="120">
        <v>91.97</v>
      </c>
      <c r="Z551" s="120" t="s">
        <v>207</v>
      </c>
      <c r="AA551" s="120">
        <v>86.17</v>
      </c>
      <c r="AB551" s="120" t="s">
        <v>207</v>
      </c>
      <c r="AC551" s="120">
        <v>61.07</v>
      </c>
      <c r="AD551" s="120" t="s">
        <v>207</v>
      </c>
      <c r="AE551" s="120">
        <v>36.979999999999997</v>
      </c>
      <c r="AF551" s="120" t="s">
        <v>207</v>
      </c>
      <c r="AG551" s="120">
        <v>13.72</v>
      </c>
      <c r="AH551" s="120" t="s">
        <v>207</v>
      </c>
      <c r="AI551" s="120">
        <v>9.1</v>
      </c>
      <c r="AJ551" s="118" t="s">
        <v>207</v>
      </c>
      <c r="AK551" s="120">
        <v>7.77</v>
      </c>
      <c r="AL551" s="118" t="s">
        <v>207</v>
      </c>
      <c r="AM551" s="120">
        <v>8.51</v>
      </c>
      <c r="AN551" s="118" t="s">
        <v>207</v>
      </c>
      <c r="AO551" s="120">
        <v>35.89</v>
      </c>
      <c r="AP551" s="120" t="s">
        <v>207</v>
      </c>
      <c r="AQ551" s="120">
        <v>57.73</v>
      </c>
      <c r="AR551" s="120" t="s">
        <v>207</v>
      </c>
      <c r="AS551" s="120">
        <v>59.81</v>
      </c>
      <c r="AT551" s="120" t="s">
        <v>207</v>
      </c>
      <c r="AU551" s="118">
        <f t="shared" si="29"/>
        <v>555.17000000000007</v>
      </c>
      <c r="AV551" s="88"/>
      <c r="AW551" s="88"/>
      <c r="AX551" s="88"/>
      <c r="AY551" s="88"/>
      <c r="AZ551" s="88"/>
    </row>
    <row r="552" spans="1:52" s="90" customFormat="1" ht="15" customHeight="1" x14ac:dyDescent="0.3">
      <c r="A552" s="114">
        <v>541</v>
      </c>
      <c r="B552" s="174" t="s">
        <v>1233</v>
      </c>
      <c r="C552" s="120" t="s">
        <v>961</v>
      </c>
      <c r="D552" s="88"/>
      <c r="E552" s="88"/>
      <c r="F552" s="120" t="s">
        <v>958</v>
      </c>
      <c r="G552" s="25" t="s">
        <v>145</v>
      </c>
      <c r="H552" s="85" t="s">
        <v>146</v>
      </c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116"/>
      <c r="V552" s="120"/>
      <c r="W552" s="120"/>
      <c r="X552" s="120" t="s">
        <v>207</v>
      </c>
      <c r="Y552" s="120"/>
      <c r="Z552" s="120" t="s">
        <v>207</v>
      </c>
      <c r="AA552" s="120"/>
      <c r="AB552" s="120" t="s">
        <v>207</v>
      </c>
      <c r="AC552" s="120"/>
      <c r="AD552" s="120" t="s">
        <v>207</v>
      </c>
      <c r="AE552" s="120"/>
      <c r="AF552" s="120" t="s">
        <v>207</v>
      </c>
      <c r="AG552" s="120"/>
      <c r="AH552" s="120" t="s">
        <v>207</v>
      </c>
      <c r="AI552" s="120"/>
      <c r="AJ552" s="118" t="s">
        <v>207</v>
      </c>
      <c r="AK552" s="120"/>
      <c r="AL552" s="118" t="s">
        <v>207</v>
      </c>
      <c r="AM552" s="120"/>
      <c r="AN552" s="118" t="s">
        <v>207</v>
      </c>
      <c r="AO552" s="120"/>
      <c r="AP552" s="120" t="s">
        <v>207</v>
      </c>
      <c r="AQ552" s="120"/>
      <c r="AR552" s="120" t="s">
        <v>207</v>
      </c>
      <c r="AS552" s="120"/>
      <c r="AT552" s="120" t="s">
        <v>207</v>
      </c>
      <c r="AU552" s="118">
        <f t="shared" si="29"/>
        <v>0</v>
      </c>
      <c r="AV552" s="88"/>
      <c r="AW552" s="88"/>
      <c r="AX552" s="88"/>
      <c r="AY552" s="88"/>
      <c r="AZ552" s="88"/>
    </row>
    <row r="553" spans="1:52" s="90" customFormat="1" ht="15" customHeight="1" x14ac:dyDescent="0.3">
      <c r="A553" s="114">
        <v>542</v>
      </c>
      <c r="B553" s="174" t="s">
        <v>1234</v>
      </c>
      <c r="C553" s="120" t="s">
        <v>961</v>
      </c>
      <c r="D553" s="88"/>
      <c r="E553" s="88"/>
      <c r="F553" s="120" t="s">
        <v>958</v>
      </c>
      <c r="G553" s="25" t="s">
        <v>145</v>
      </c>
      <c r="H553" s="85" t="s">
        <v>146</v>
      </c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116"/>
      <c r="V553" s="120"/>
      <c r="W553" s="120"/>
      <c r="X553" s="120" t="s">
        <v>207</v>
      </c>
      <c r="Y553" s="120"/>
      <c r="Z553" s="120" t="s">
        <v>207</v>
      </c>
      <c r="AA553" s="120"/>
      <c r="AB553" s="120" t="s">
        <v>207</v>
      </c>
      <c r="AC553" s="120"/>
      <c r="AD553" s="120" t="s">
        <v>207</v>
      </c>
      <c r="AE553" s="120"/>
      <c r="AF553" s="120" t="s">
        <v>207</v>
      </c>
      <c r="AG553" s="120"/>
      <c r="AH553" s="120" t="s">
        <v>207</v>
      </c>
      <c r="AI553" s="120"/>
      <c r="AJ553" s="118" t="s">
        <v>207</v>
      </c>
      <c r="AK553" s="120"/>
      <c r="AL553" s="118" t="s">
        <v>207</v>
      </c>
      <c r="AM553" s="120"/>
      <c r="AN553" s="118" t="s">
        <v>207</v>
      </c>
      <c r="AO553" s="120"/>
      <c r="AP553" s="120" t="s">
        <v>207</v>
      </c>
      <c r="AQ553" s="120"/>
      <c r="AR553" s="120" t="s">
        <v>207</v>
      </c>
      <c r="AS553" s="120"/>
      <c r="AT553" s="120" t="s">
        <v>207</v>
      </c>
      <c r="AU553" s="118">
        <f t="shared" si="29"/>
        <v>0</v>
      </c>
      <c r="AV553" s="88"/>
      <c r="AW553" s="88"/>
      <c r="AX553" s="88"/>
      <c r="AY553" s="88"/>
      <c r="AZ553" s="88"/>
    </row>
    <row r="554" spans="1:52" s="90" customFormat="1" ht="15" customHeight="1" x14ac:dyDescent="0.3">
      <c r="A554" s="114">
        <v>543</v>
      </c>
      <c r="B554" s="174" t="s">
        <v>1235</v>
      </c>
      <c r="C554" s="120" t="s">
        <v>961</v>
      </c>
      <c r="D554" s="88"/>
      <c r="E554" s="88"/>
      <c r="F554" s="120" t="s">
        <v>958</v>
      </c>
      <c r="G554" s="25" t="s">
        <v>145</v>
      </c>
      <c r="H554" s="85" t="s">
        <v>146</v>
      </c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116"/>
      <c r="V554" s="120"/>
      <c r="W554" s="120"/>
      <c r="X554" s="120" t="s">
        <v>207</v>
      </c>
      <c r="Y554" s="120"/>
      <c r="Z554" s="120" t="s">
        <v>207</v>
      </c>
      <c r="AA554" s="120"/>
      <c r="AB554" s="120" t="s">
        <v>207</v>
      </c>
      <c r="AC554" s="120"/>
      <c r="AD554" s="120" t="s">
        <v>207</v>
      </c>
      <c r="AE554" s="120"/>
      <c r="AF554" s="120" t="s">
        <v>207</v>
      </c>
      <c r="AG554" s="120"/>
      <c r="AH554" s="120" t="s">
        <v>207</v>
      </c>
      <c r="AI554" s="120"/>
      <c r="AJ554" s="118" t="s">
        <v>207</v>
      </c>
      <c r="AK554" s="120"/>
      <c r="AL554" s="118" t="s">
        <v>207</v>
      </c>
      <c r="AM554" s="120"/>
      <c r="AN554" s="118" t="s">
        <v>207</v>
      </c>
      <c r="AO554" s="120"/>
      <c r="AP554" s="120" t="s">
        <v>207</v>
      </c>
      <c r="AQ554" s="120"/>
      <c r="AR554" s="120" t="s">
        <v>207</v>
      </c>
      <c r="AS554" s="120"/>
      <c r="AT554" s="120" t="s">
        <v>207</v>
      </c>
      <c r="AU554" s="118">
        <f t="shared" si="29"/>
        <v>0</v>
      </c>
      <c r="AV554" s="88"/>
      <c r="AW554" s="88"/>
      <c r="AX554" s="88"/>
      <c r="AY554" s="88"/>
      <c r="AZ554" s="88"/>
    </row>
    <row r="555" spans="1:52" s="90" customFormat="1" ht="15" customHeight="1" x14ac:dyDescent="0.3">
      <c r="A555" s="114">
        <v>544</v>
      </c>
      <c r="B555" s="174" t="s">
        <v>1236</v>
      </c>
      <c r="C555" s="120" t="s">
        <v>959</v>
      </c>
      <c r="D555" s="88"/>
      <c r="E555" s="88"/>
      <c r="F555" s="120" t="s">
        <v>958</v>
      </c>
      <c r="G555" s="25" t="s">
        <v>145</v>
      </c>
      <c r="H555" s="85" t="s">
        <v>146</v>
      </c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116">
        <v>2438.9</v>
      </c>
      <c r="V555" s="120">
        <v>326.70999999999998</v>
      </c>
      <c r="W555" s="120">
        <v>52.37</v>
      </c>
      <c r="X555" s="120" t="s">
        <v>207</v>
      </c>
      <c r="Y555" s="120">
        <v>42.63</v>
      </c>
      <c r="Z555" s="120" t="s">
        <v>207</v>
      </c>
      <c r="AA555" s="120">
        <v>41.95</v>
      </c>
      <c r="AB555" s="120" t="s">
        <v>207</v>
      </c>
      <c r="AC555" s="120">
        <v>28.78</v>
      </c>
      <c r="AD555" s="120" t="s">
        <v>207</v>
      </c>
      <c r="AE555" s="120">
        <v>16.3</v>
      </c>
      <c r="AF555" s="120" t="s">
        <v>207</v>
      </c>
      <c r="AG555" s="120">
        <v>6.08</v>
      </c>
      <c r="AH555" s="120" t="s">
        <v>207</v>
      </c>
      <c r="AI555" s="120">
        <v>6.66</v>
      </c>
      <c r="AJ555" s="118" t="s">
        <v>207</v>
      </c>
      <c r="AK555" s="120">
        <v>5.67</v>
      </c>
      <c r="AL555" s="118" t="s">
        <v>207</v>
      </c>
      <c r="AM555" s="120">
        <v>10.47</v>
      </c>
      <c r="AN555" s="118" t="s">
        <v>207</v>
      </c>
      <c r="AO555" s="120">
        <v>26.93</v>
      </c>
      <c r="AP555" s="120" t="s">
        <v>207</v>
      </c>
      <c r="AQ555" s="120">
        <v>30.25</v>
      </c>
      <c r="AR555" s="120" t="s">
        <v>207</v>
      </c>
      <c r="AS555" s="120">
        <v>33.369999999999997</v>
      </c>
      <c r="AT555" s="120" t="s">
        <v>207</v>
      </c>
      <c r="AU555" s="118">
        <f t="shared" si="29"/>
        <v>301.46000000000004</v>
      </c>
      <c r="AV555" s="88"/>
      <c r="AW555" s="88"/>
      <c r="AX555" s="88"/>
      <c r="AY555" s="88"/>
      <c r="AZ555" s="88"/>
    </row>
    <row r="556" spans="1:52" s="90" customFormat="1" ht="15" customHeight="1" x14ac:dyDescent="0.3">
      <c r="A556" s="114">
        <v>545</v>
      </c>
      <c r="B556" s="174" t="s">
        <v>1237</v>
      </c>
      <c r="C556" s="120" t="s">
        <v>959</v>
      </c>
      <c r="D556" s="88"/>
      <c r="E556" s="88"/>
      <c r="F556" s="120" t="s">
        <v>958</v>
      </c>
      <c r="G556" s="25" t="s">
        <v>145</v>
      </c>
      <c r="H556" s="85" t="s">
        <v>146</v>
      </c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116">
        <v>606.35</v>
      </c>
      <c r="V556" s="120">
        <v>677.37</v>
      </c>
      <c r="W556" s="120">
        <v>138.1</v>
      </c>
      <c r="X556" s="120" t="s">
        <v>207</v>
      </c>
      <c r="Y556" s="120">
        <v>105.42</v>
      </c>
      <c r="Z556" s="120" t="s">
        <v>207</v>
      </c>
      <c r="AA556" s="120">
        <v>95.25</v>
      </c>
      <c r="AB556" s="120" t="s">
        <v>207</v>
      </c>
      <c r="AC556" s="120">
        <v>59.94</v>
      </c>
      <c r="AD556" s="120" t="s">
        <v>207</v>
      </c>
      <c r="AE556" s="120">
        <v>17.55</v>
      </c>
      <c r="AF556" s="120" t="s">
        <v>207</v>
      </c>
      <c r="AG556" s="120">
        <v>0</v>
      </c>
      <c r="AH556" s="120" t="s">
        <v>207</v>
      </c>
      <c r="AI556" s="120">
        <v>0</v>
      </c>
      <c r="AJ556" s="118" t="s">
        <v>207</v>
      </c>
      <c r="AK556" s="120">
        <v>0</v>
      </c>
      <c r="AL556" s="118" t="s">
        <v>207</v>
      </c>
      <c r="AM556" s="120">
        <v>1.47</v>
      </c>
      <c r="AN556" s="118" t="s">
        <v>207</v>
      </c>
      <c r="AO556" s="120">
        <v>48.65</v>
      </c>
      <c r="AP556" s="120" t="s">
        <v>207</v>
      </c>
      <c r="AQ556" s="120">
        <v>66.28</v>
      </c>
      <c r="AR556" s="120" t="s">
        <v>207</v>
      </c>
      <c r="AS556" s="120">
        <v>73.69</v>
      </c>
      <c r="AT556" s="120" t="s">
        <v>207</v>
      </c>
      <c r="AU556" s="118">
        <f t="shared" si="29"/>
        <v>606.34999999999991</v>
      </c>
      <c r="AV556" s="88"/>
      <c r="AW556" s="88"/>
      <c r="AX556" s="88"/>
      <c r="AY556" s="88"/>
      <c r="AZ556" s="88"/>
    </row>
    <row r="557" spans="1:52" s="90" customFormat="1" ht="15" customHeight="1" x14ac:dyDescent="0.3">
      <c r="A557" s="114">
        <v>546</v>
      </c>
      <c r="B557" s="174" t="s">
        <v>1238</v>
      </c>
      <c r="C557" s="120" t="s">
        <v>959</v>
      </c>
      <c r="D557" s="88"/>
      <c r="E557" s="88"/>
      <c r="F557" s="120" t="s">
        <v>958</v>
      </c>
      <c r="G557" s="25" t="s">
        <v>145</v>
      </c>
      <c r="H557" s="85" t="s">
        <v>146</v>
      </c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116">
        <v>1971.14</v>
      </c>
      <c r="V557" s="120">
        <v>2269.1799999999998</v>
      </c>
      <c r="W557" s="120">
        <v>266.42</v>
      </c>
      <c r="X557" s="120" t="s">
        <v>207</v>
      </c>
      <c r="Y557" s="120">
        <v>314.48</v>
      </c>
      <c r="Z557" s="120" t="s">
        <v>207</v>
      </c>
      <c r="AA557" s="120">
        <v>258.89999999999998</v>
      </c>
      <c r="AB557" s="120" t="s">
        <v>207</v>
      </c>
      <c r="AC557" s="120">
        <v>218.59</v>
      </c>
      <c r="AD557" s="120" t="s">
        <v>207</v>
      </c>
      <c r="AE557" s="120">
        <v>150.07</v>
      </c>
      <c r="AF557" s="120" t="s">
        <v>207</v>
      </c>
      <c r="AG557" s="120">
        <v>80.33</v>
      </c>
      <c r="AH557" s="120" t="s">
        <v>207</v>
      </c>
      <c r="AI557" s="120">
        <v>56.71</v>
      </c>
      <c r="AJ557" s="118" t="s">
        <v>207</v>
      </c>
      <c r="AK557" s="120">
        <v>63.89</v>
      </c>
      <c r="AL557" s="118" t="s">
        <v>207</v>
      </c>
      <c r="AM557" s="120">
        <v>76.72</v>
      </c>
      <c r="AN557" s="118" t="s">
        <v>207</v>
      </c>
      <c r="AO557" s="120">
        <v>153.44</v>
      </c>
      <c r="AP557" s="120" t="s">
        <v>207</v>
      </c>
      <c r="AQ557" s="120">
        <v>210.67</v>
      </c>
      <c r="AR557" s="120" t="s">
        <v>207</v>
      </c>
      <c r="AS557" s="120">
        <v>236.39</v>
      </c>
      <c r="AT557" s="120" t="s">
        <v>207</v>
      </c>
      <c r="AU557" s="118">
        <f t="shared" si="29"/>
        <v>2086.61</v>
      </c>
      <c r="AV557" s="88"/>
      <c r="AW557" s="88"/>
      <c r="AX557" s="88"/>
      <c r="AY557" s="88"/>
      <c r="AZ557" s="88"/>
    </row>
    <row r="558" spans="1:52" s="90" customFormat="1" ht="15" customHeight="1" x14ac:dyDescent="0.3">
      <c r="A558" s="114">
        <v>547</v>
      </c>
      <c r="B558" s="174" t="s">
        <v>1239</v>
      </c>
      <c r="C558" s="120" t="s">
        <v>959</v>
      </c>
      <c r="D558" s="88"/>
      <c r="E558" s="88"/>
      <c r="F558" s="120" t="s">
        <v>958</v>
      </c>
      <c r="G558" s="25" t="s">
        <v>145</v>
      </c>
      <c r="H558" s="85" t="s">
        <v>146</v>
      </c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116">
        <v>1185.26</v>
      </c>
      <c r="V558" s="120">
        <v>1179.42</v>
      </c>
      <c r="W558" s="120">
        <v>243.97</v>
      </c>
      <c r="X558" s="120" t="s">
        <v>207</v>
      </c>
      <c r="Y558" s="120">
        <v>280.25</v>
      </c>
      <c r="Z558" s="120" t="s">
        <v>207</v>
      </c>
      <c r="AA558" s="120">
        <v>213.05</v>
      </c>
      <c r="AB558" s="120" t="s">
        <v>207</v>
      </c>
      <c r="AC558" s="120">
        <v>172.6</v>
      </c>
      <c r="AD558" s="120" t="s">
        <v>207</v>
      </c>
      <c r="AE558" s="120">
        <v>0</v>
      </c>
      <c r="AF558" s="120" t="s">
        <v>207</v>
      </c>
      <c r="AG558" s="120">
        <v>45.95</v>
      </c>
      <c r="AH558" s="120" t="s">
        <v>207</v>
      </c>
      <c r="AI558" s="120">
        <v>36.26</v>
      </c>
      <c r="AJ558" s="118" t="s">
        <v>207</v>
      </c>
      <c r="AK558" s="120">
        <v>43.78</v>
      </c>
      <c r="AL558" s="118" t="s">
        <v>207</v>
      </c>
      <c r="AM558" s="120">
        <v>46.41</v>
      </c>
      <c r="AN558" s="118" t="s">
        <v>207</v>
      </c>
      <c r="AO558" s="120">
        <v>140.80000000000001</v>
      </c>
      <c r="AP558" s="120" t="s">
        <v>207</v>
      </c>
      <c r="AQ558" s="120">
        <v>141.19</v>
      </c>
      <c r="AR558" s="120" t="s">
        <v>207</v>
      </c>
      <c r="AS558" s="120">
        <v>185.81</v>
      </c>
      <c r="AT558" s="120" t="s">
        <v>207</v>
      </c>
      <c r="AU558" s="118">
        <f t="shared" si="29"/>
        <v>1550.0700000000002</v>
      </c>
      <c r="AV558" s="88"/>
      <c r="AW558" s="88"/>
      <c r="AX558" s="88"/>
      <c r="AY558" s="88"/>
      <c r="AZ558" s="88"/>
    </row>
    <row r="559" spans="1:52" s="90" customFormat="1" ht="15" customHeight="1" x14ac:dyDescent="0.3">
      <c r="A559" s="114">
        <v>548</v>
      </c>
      <c r="B559" s="174" t="s">
        <v>1240</v>
      </c>
      <c r="C559" s="120" t="s">
        <v>959</v>
      </c>
      <c r="D559" s="88"/>
      <c r="E559" s="88"/>
      <c r="F559" s="120" t="s">
        <v>958</v>
      </c>
      <c r="G559" s="25" t="s">
        <v>145</v>
      </c>
      <c r="H559" s="85" t="s">
        <v>146</v>
      </c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116">
        <v>451.95</v>
      </c>
      <c r="V559" s="120">
        <f>23.96+577.3</f>
        <v>601.26</v>
      </c>
      <c r="W559" s="120">
        <v>67.73</v>
      </c>
      <c r="X559" s="120" t="s">
        <v>207</v>
      </c>
      <c r="Y559" s="120">
        <v>48.91</v>
      </c>
      <c r="Z559" s="120" t="s">
        <v>207</v>
      </c>
      <c r="AA559" s="120">
        <v>82.1</v>
      </c>
      <c r="AB559" s="120" t="s">
        <v>207</v>
      </c>
      <c r="AC559" s="120">
        <v>50</v>
      </c>
      <c r="AD559" s="120" t="s">
        <v>207</v>
      </c>
      <c r="AE559" s="120">
        <v>22.6</v>
      </c>
      <c r="AF559" s="120" t="s">
        <v>207</v>
      </c>
      <c r="AG559" s="120">
        <v>0</v>
      </c>
      <c r="AH559" s="120" t="s">
        <v>207</v>
      </c>
      <c r="AI559" s="120">
        <v>0</v>
      </c>
      <c r="AJ559" s="118" t="s">
        <v>207</v>
      </c>
      <c r="AK559" s="120">
        <v>0</v>
      </c>
      <c r="AL559" s="118" t="s">
        <v>207</v>
      </c>
      <c r="AM559" s="120">
        <v>0</v>
      </c>
      <c r="AN559" s="118" t="s">
        <v>207</v>
      </c>
      <c r="AO559" s="120">
        <v>50</v>
      </c>
      <c r="AP559" s="120" t="s">
        <v>207</v>
      </c>
      <c r="AQ559" s="120">
        <v>47.4</v>
      </c>
      <c r="AR559" s="120" t="s">
        <v>207</v>
      </c>
      <c r="AS559" s="120">
        <v>69.099999999999994</v>
      </c>
      <c r="AT559" s="120" t="s">
        <v>207</v>
      </c>
      <c r="AU559" s="118">
        <f t="shared" si="29"/>
        <v>437.84000000000003</v>
      </c>
      <c r="AV559" s="88"/>
      <c r="AW559" s="88"/>
      <c r="AX559" s="88"/>
      <c r="AY559" s="88"/>
      <c r="AZ559" s="88"/>
    </row>
    <row r="560" spans="1:52" s="90" customFormat="1" ht="15" customHeight="1" x14ac:dyDescent="0.3">
      <c r="A560" s="114">
        <v>549</v>
      </c>
      <c r="B560" s="174" t="s">
        <v>1241</v>
      </c>
      <c r="C560" s="120" t="s">
        <v>804</v>
      </c>
      <c r="D560" s="88"/>
      <c r="E560" s="88"/>
      <c r="F560" s="120" t="s">
        <v>958</v>
      </c>
      <c r="G560" s="25" t="s">
        <v>145</v>
      </c>
      <c r="H560" s="85" t="s">
        <v>146</v>
      </c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116">
        <v>2554.63</v>
      </c>
      <c r="V560" s="120">
        <v>3128.02</v>
      </c>
      <c r="W560" s="120">
        <v>215.89</v>
      </c>
      <c r="X560" s="120" t="s">
        <v>207</v>
      </c>
      <c r="Y560" s="120">
        <v>211.87</v>
      </c>
      <c r="Z560" s="120" t="s">
        <v>207</v>
      </c>
      <c r="AA560" s="120">
        <v>384.9</v>
      </c>
      <c r="AB560" s="120" t="s">
        <v>207</v>
      </c>
      <c r="AC560" s="120">
        <v>258.87</v>
      </c>
      <c r="AD560" s="120" t="s">
        <v>207</v>
      </c>
      <c r="AE560" s="120">
        <v>93.82</v>
      </c>
      <c r="AF560" s="120" t="s">
        <v>207</v>
      </c>
      <c r="AG560" s="120">
        <v>32.020000000000003</v>
      </c>
      <c r="AH560" s="120" t="s">
        <v>207</v>
      </c>
      <c r="AI560" s="120">
        <v>31.12</v>
      </c>
      <c r="AJ560" s="118" t="s">
        <v>207</v>
      </c>
      <c r="AK560" s="120">
        <v>29.88</v>
      </c>
      <c r="AL560" s="118" t="s">
        <v>207</v>
      </c>
      <c r="AM560" s="120">
        <v>97.3</v>
      </c>
      <c r="AN560" s="118" t="s">
        <v>207</v>
      </c>
      <c r="AO560" s="120">
        <v>247.55</v>
      </c>
      <c r="AP560" s="120" t="s">
        <v>207</v>
      </c>
      <c r="AQ560" s="120">
        <v>203.53</v>
      </c>
      <c r="AR560" s="120" t="s">
        <v>207</v>
      </c>
      <c r="AS560" s="120">
        <v>275.11</v>
      </c>
      <c r="AT560" s="120" t="s">
        <v>207</v>
      </c>
      <c r="AU560" s="118">
        <f t="shared" si="29"/>
        <v>2081.8599999999997</v>
      </c>
      <c r="AV560" s="88"/>
      <c r="AW560" s="88"/>
      <c r="AX560" s="88"/>
      <c r="AY560" s="88"/>
      <c r="AZ560" s="88"/>
    </row>
    <row r="561" spans="1:52" s="90" customFormat="1" ht="15" customHeight="1" x14ac:dyDescent="0.3">
      <c r="A561" s="114">
        <v>550</v>
      </c>
      <c r="B561" s="174" t="s">
        <v>1242</v>
      </c>
      <c r="C561" s="120" t="s">
        <v>959</v>
      </c>
      <c r="D561" s="88"/>
      <c r="E561" s="88"/>
      <c r="F561" s="120" t="s">
        <v>958</v>
      </c>
      <c r="G561" s="25" t="s">
        <v>145</v>
      </c>
      <c r="H561" s="85" t="s">
        <v>146</v>
      </c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116">
        <v>245.28</v>
      </c>
      <c r="V561" s="120">
        <v>290.69</v>
      </c>
      <c r="W561" s="120">
        <v>25.13</v>
      </c>
      <c r="X561" s="120" t="s">
        <v>207</v>
      </c>
      <c r="Y561" s="120">
        <v>24.68</v>
      </c>
      <c r="Z561" s="120" t="s">
        <v>207</v>
      </c>
      <c r="AA561" s="120">
        <v>40.64</v>
      </c>
      <c r="AB561" s="120" t="s">
        <v>207</v>
      </c>
      <c r="AC561" s="120">
        <v>24.11</v>
      </c>
      <c r="AD561" s="120" t="s">
        <v>207</v>
      </c>
      <c r="AE561" s="120">
        <v>7.03</v>
      </c>
      <c r="AF561" s="120" t="s">
        <v>207</v>
      </c>
      <c r="AG561" s="120">
        <v>3.14</v>
      </c>
      <c r="AH561" s="120" t="s">
        <v>207</v>
      </c>
      <c r="AI561" s="120">
        <v>3.11</v>
      </c>
      <c r="AJ561" s="118" t="s">
        <v>207</v>
      </c>
      <c r="AK561" s="120">
        <v>2.94</v>
      </c>
      <c r="AL561" s="118" t="s">
        <v>207</v>
      </c>
      <c r="AM561" s="120">
        <v>4.7300000000000004</v>
      </c>
      <c r="AN561" s="118" t="s">
        <v>207</v>
      </c>
      <c r="AO561" s="120">
        <v>22.98</v>
      </c>
      <c r="AP561" s="120" t="s">
        <v>207</v>
      </c>
      <c r="AQ561" s="120">
        <v>20.79</v>
      </c>
      <c r="AR561" s="120" t="s">
        <v>207</v>
      </c>
      <c r="AS561" s="120">
        <v>28.45</v>
      </c>
      <c r="AT561" s="120" t="s">
        <v>207</v>
      </c>
      <c r="AU561" s="118">
        <f t="shared" si="29"/>
        <v>207.72999999999996</v>
      </c>
      <c r="AV561" s="88"/>
      <c r="AW561" s="88"/>
      <c r="AX561" s="88"/>
      <c r="AY561" s="88"/>
      <c r="AZ561" s="88"/>
    </row>
    <row r="562" spans="1:52" s="90" customFormat="1" ht="15" customHeight="1" x14ac:dyDescent="0.3">
      <c r="A562" s="114">
        <v>551</v>
      </c>
      <c r="B562" s="174" t="s">
        <v>1243</v>
      </c>
      <c r="C562" s="120" t="s">
        <v>959</v>
      </c>
      <c r="D562" s="88"/>
      <c r="E562" s="88"/>
      <c r="F562" s="120" t="s">
        <v>958</v>
      </c>
      <c r="G562" s="25" t="s">
        <v>145</v>
      </c>
      <c r="H562" s="85" t="s">
        <v>146</v>
      </c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116"/>
      <c r="V562" s="120"/>
      <c r="W562" s="120"/>
      <c r="X562" s="120" t="s">
        <v>207</v>
      </c>
      <c r="Y562" s="120"/>
      <c r="Z562" s="120" t="s">
        <v>207</v>
      </c>
      <c r="AA562" s="120"/>
      <c r="AB562" s="120" t="s">
        <v>207</v>
      </c>
      <c r="AC562" s="120"/>
      <c r="AD562" s="120" t="s">
        <v>207</v>
      </c>
      <c r="AE562" s="120"/>
      <c r="AF562" s="120" t="s">
        <v>207</v>
      </c>
      <c r="AG562" s="120"/>
      <c r="AH562" s="120" t="s">
        <v>207</v>
      </c>
      <c r="AI562" s="120"/>
      <c r="AJ562" s="118" t="s">
        <v>207</v>
      </c>
      <c r="AK562" s="120"/>
      <c r="AL562" s="118" t="s">
        <v>207</v>
      </c>
      <c r="AM562" s="120"/>
      <c r="AN562" s="118" t="s">
        <v>207</v>
      </c>
      <c r="AO562" s="120"/>
      <c r="AP562" s="120" t="s">
        <v>207</v>
      </c>
      <c r="AQ562" s="120"/>
      <c r="AR562" s="120" t="s">
        <v>207</v>
      </c>
      <c r="AS562" s="120"/>
      <c r="AT562" s="120" t="s">
        <v>207</v>
      </c>
      <c r="AU562" s="118">
        <f t="shared" si="29"/>
        <v>0</v>
      </c>
      <c r="AV562" s="88"/>
      <c r="AW562" s="88"/>
      <c r="AX562" s="88"/>
      <c r="AY562" s="88"/>
      <c r="AZ562" s="88"/>
    </row>
    <row r="563" spans="1:52" s="90" customFormat="1" ht="15" customHeight="1" x14ac:dyDescent="0.3">
      <c r="A563" s="114">
        <v>552</v>
      </c>
      <c r="B563" s="174" t="s">
        <v>1244</v>
      </c>
      <c r="C563" s="120" t="s">
        <v>959</v>
      </c>
      <c r="D563" s="88"/>
      <c r="E563" s="88"/>
      <c r="F563" s="120" t="s">
        <v>958</v>
      </c>
      <c r="G563" s="25" t="s">
        <v>145</v>
      </c>
      <c r="H563" s="85" t="s">
        <v>146</v>
      </c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116">
        <v>149.34</v>
      </c>
      <c r="V563" s="120">
        <v>131.82</v>
      </c>
      <c r="W563" s="120">
        <v>20.420000000000002</v>
      </c>
      <c r="X563" s="120" t="s">
        <v>207</v>
      </c>
      <c r="Y563" s="120">
        <v>24.45</v>
      </c>
      <c r="Z563" s="120" t="s">
        <v>207</v>
      </c>
      <c r="AA563" s="120">
        <v>17.32</v>
      </c>
      <c r="AB563" s="120" t="s">
        <v>207</v>
      </c>
      <c r="AC563" s="120">
        <v>12.29</v>
      </c>
      <c r="AD563" s="120" t="s">
        <v>207</v>
      </c>
      <c r="AE563" s="120">
        <v>5.62</v>
      </c>
      <c r="AF563" s="120" t="s">
        <v>207</v>
      </c>
      <c r="AG563" s="120">
        <v>1.35</v>
      </c>
      <c r="AH563" s="120" t="s">
        <v>207</v>
      </c>
      <c r="AI563" s="120">
        <v>0</v>
      </c>
      <c r="AJ563" s="118" t="s">
        <v>207</v>
      </c>
      <c r="AK563" s="120">
        <v>0</v>
      </c>
      <c r="AL563" s="118" t="s">
        <v>207</v>
      </c>
      <c r="AM563" s="120">
        <v>0.17</v>
      </c>
      <c r="AN563" s="118" t="s">
        <v>207</v>
      </c>
      <c r="AO563" s="120">
        <v>11.96</v>
      </c>
      <c r="AP563" s="120" t="s">
        <v>207</v>
      </c>
      <c r="AQ563" s="120">
        <v>17.91</v>
      </c>
      <c r="AR563" s="120" t="s">
        <v>207</v>
      </c>
      <c r="AS563" s="120">
        <v>15.91</v>
      </c>
      <c r="AT563" s="120" t="s">
        <v>207</v>
      </c>
      <c r="AU563" s="118">
        <f t="shared" si="29"/>
        <v>127.4</v>
      </c>
      <c r="AV563" s="88"/>
      <c r="AW563" s="88"/>
      <c r="AX563" s="88"/>
      <c r="AY563" s="88"/>
      <c r="AZ563" s="88"/>
    </row>
    <row r="564" spans="1:52" s="90" customFormat="1" ht="15" customHeight="1" x14ac:dyDescent="0.3">
      <c r="A564" s="114">
        <v>553</v>
      </c>
      <c r="B564" s="174" t="s">
        <v>1245</v>
      </c>
      <c r="C564" s="120" t="s">
        <v>959</v>
      </c>
      <c r="D564" s="88"/>
      <c r="E564" s="88"/>
      <c r="F564" s="120" t="s">
        <v>958</v>
      </c>
      <c r="G564" s="25" t="s">
        <v>145</v>
      </c>
      <c r="H564" s="85" t="s">
        <v>146</v>
      </c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116">
        <v>338.73</v>
      </c>
      <c r="V564" s="120">
        <v>418.55</v>
      </c>
      <c r="W564" s="120">
        <v>60.32</v>
      </c>
      <c r="X564" s="120" t="s">
        <v>207</v>
      </c>
      <c r="Y564" s="120">
        <v>76.39</v>
      </c>
      <c r="Z564" s="120" t="s">
        <v>207</v>
      </c>
      <c r="AA564" s="120">
        <v>50.07</v>
      </c>
      <c r="AB564" s="120" t="s">
        <v>207</v>
      </c>
      <c r="AC564" s="120">
        <v>39.799999999999997</v>
      </c>
      <c r="AD564" s="120" t="s">
        <v>207</v>
      </c>
      <c r="AE564" s="120">
        <v>0</v>
      </c>
      <c r="AF564" s="120" t="s">
        <v>207</v>
      </c>
      <c r="AG564" s="120">
        <v>0</v>
      </c>
      <c r="AH564" s="120" t="s">
        <v>207</v>
      </c>
      <c r="AI564" s="120">
        <v>0</v>
      </c>
      <c r="AJ564" s="118" t="s">
        <v>207</v>
      </c>
      <c r="AK564" s="120">
        <v>0</v>
      </c>
      <c r="AL564" s="118" t="s">
        <v>207</v>
      </c>
      <c r="AM564" s="120">
        <v>0</v>
      </c>
      <c r="AN564" s="118" t="s">
        <v>207</v>
      </c>
      <c r="AO564" s="120">
        <v>28.68</v>
      </c>
      <c r="AP564" s="120" t="s">
        <v>207</v>
      </c>
      <c r="AQ564" s="120">
        <v>38.369999999999997</v>
      </c>
      <c r="AR564" s="120" t="s">
        <v>207</v>
      </c>
      <c r="AS564" s="120">
        <v>45.1</v>
      </c>
      <c r="AT564" s="120" t="s">
        <v>207</v>
      </c>
      <c r="AU564" s="118">
        <f t="shared" si="29"/>
        <v>338.73</v>
      </c>
      <c r="AV564" s="88"/>
      <c r="AW564" s="88"/>
      <c r="AX564" s="88"/>
      <c r="AY564" s="88"/>
      <c r="AZ564" s="88"/>
    </row>
    <row r="565" spans="1:52" s="90" customFormat="1" ht="15" customHeight="1" x14ac:dyDescent="0.3">
      <c r="A565" s="114">
        <v>554</v>
      </c>
      <c r="B565" s="174" t="s">
        <v>1246</v>
      </c>
      <c r="C565" s="120" t="s">
        <v>959</v>
      </c>
      <c r="D565" s="88"/>
      <c r="E565" s="88"/>
      <c r="F565" s="120" t="s">
        <v>958</v>
      </c>
      <c r="G565" s="25" t="s">
        <v>145</v>
      </c>
      <c r="H565" s="85" t="s">
        <v>146</v>
      </c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116">
        <v>265.38</v>
      </c>
      <c r="V565" s="120">
        <v>344.12</v>
      </c>
      <c r="W565" s="120">
        <v>45.09</v>
      </c>
      <c r="X565" s="120" t="s">
        <v>207</v>
      </c>
      <c r="Y565" s="120">
        <v>54.31</v>
      </c>
      <c r="Z565" s="120" t="s">
        <v>207</v>
      </c>
      <c r="AA565" s="120">
        <v>41.06</v>
      </c>
      <c r="AB565" s="120" t="s">
        <v>207</v>
      </c>
      <c r="AC565" s="120">
        <v>33.299999999999997</v>
      </c>
      <c r="AD565" s="120" t="s">
        <v>207</v>
      </c>
      <c r="AE565" s="120">
        <v>20.98</v>
      </c>
      <c r="AF565" s="120" t="s">
        <v>207</v>
      </c>
      <c r="AG565" s="120">
        <v>9.4700000000000006</v>
      </c>
      <c r="AH565" s="120" t="s">
        <v>207</v>
      </c>
      <c r="AI565" s="120">
        <v>8.93</v>
      </c>
      <c r="AJ565" s="118" t="s">
        <v>207</v>
      </c>
      <c r="AK565" s="120">
        <v>10.11</v>
      </c>
      <c r="AL565" s="118" t="s">
        <v>207</v>
      </c>
      <c r="AM565" s="120">
        <v>12.07</v>
      </c>
      <c r="AN565" s="118" t="s">
        <v>207</v>
      </c>
      <c r="AO565" s="120">
        <v>26.16</v>
      </c>
      <c r="AP565" s="120" t="s">
        <v>207</v>
      </c>
      <c r="AQ565" s="120">
        <v>33.43</v>
      </c>
      <c r="AR565" s="120" t="s">
        <v>207</v>
      </c>
      <c r="AS565" s="120">
        <v>35.1</v>
      </c>
      <c r="AT565" s="120" t="s">
        <v>207</v>
      </c>
      <c r="AU565" s="118">
        <f t="shared" si="29"/>
        <v>330.01000000000005</v>
      </c>
      <c r="AV565" s="88"/>
      <c r="AW565" s="88"/>
      <c r="AX565" s="88"/>
      <c r="AY565" s="88"/>
      <c r="AZ565" s="88"/>
    </row>
    <row r="566" spans="1:52" s="90" customFormat="1" ht="15" customHeight="1" x14ac:dyDescent="0.3">
      <c r="A566" s="114">
        <v>555</v>
      </c>
      <c r="B566" s="174" t="s">
        <v>1247</v>
      </c>
      <c r="C566" s="120" t="s">
        <v>959</v>
      </c>
      <c r="D566" s="88"/>
      <c r="E566" s="88"/>
      <c r="F566" s="120" t="s">
        <v>958</v>
      </c>
      <c r="G566" s="25" t="s">
        <v>145</v>
      </c>
      <c r="H566" s="85" t="s">
        <v>146</v>
      </c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116">
        <v>274.3</v>
      </c>
      <c r="V566" s="120">
        <v>373.32</v>
      </c>
      <c r="W566" s="120">
        <v>66.19</v>
      </c>
      <c r="X566" s="120" t="s">
        <v>207</v>
      </c>
      <c r="Y566" s="120">
        <v>50.79</v>
      </c>
      <c r="Z566" s="120" t="s">
        <v>207</v>
      </c>
      <c r="AA566" s="120">
        <v>48.15</v>
      </c>
      <c r="AB566" s="120" t="s">
        <v>207</v>
      </c>
      <c r="AC566" s="120">
        <v>30.85</v>
      </c>
      <c r="AD566" s="120" t="s">
        <v>207</v>
      </c>
      <c r="AE566" s="120">
        <v>17.77</v>
      </c>
      <c r="AF566" s="120" t="s">
        <v>207</v>
      </c>
      <c r="AG566" s="120">
        <v>8.08</v>
      </c>
      <c r="AH566" s="120" t="s">
        <v>207</v>
      </c>
      <c r="AI566" s="120">
        <v>7.25</v>
      </c>
      <c r="AJ566" s="118" t="s">
        <v>207</v>
      </c>
      <c r="AK566" s="120">
        <v>5.97</v>
      </c>
      <c r="AL566" s="118" t="s">
        <v>207</v>
      </c>
      <c r="AM566" s="120">
        <v>11.91</v>
      </c>
      <c r="AN566" s="118" t="s">
        <v>207</v>
      </c>
      <c r="AO566" s="120">
        <v>32.479999999999997</v>
      </c>
      <c r="AP566" s="120" t="s">
        <v>207</v>
      </c>
      <c r="AQ566" s="120">
        <v>34.43</v>
      </c>
      <c r="AR566" s="120" t="s">
        <v>207</v>
      </c>
      <c r="AS566" s="120">
        <v>35.700000000000003</v>
      </c>
      <c r="AT566" s="120" t="s">
        <v>207</v>
      </c>
      <c r="AU566" s="118">
        <f t="shared" si="29"/>
        <v>349.57</v>
      </c>
      <c r="AV566" s="88"/>
      <c r="AW566" s="88"/>
      <c r="AX566" s="88"/>
      <c r="AY566" s="88"/>
      <c r="AZ566" s="88"/>
    </row>
    <row r="567" spans="1:52" s="90" customFormat="1" ht="15" customHeight="1" x14ac:dyDescent="0.3">
      <c r="A567" s="114">
        <v>556</v>
      </c>
      <c r="B567" s="174" t="s">
        <v>1248</v>
      </c>
      <c r="C567" s="120" t="s">
        <v>959</v>
      </c>
      <c r="D567" s="88"/>
      <c r="E567" s="88"/>
      <c r="F567" s="120" t="s">
        <v>958</v>
      </c>
      <c r="G567" s="25" t="s">
        <v>145</v>
      </c>
      <c r="H567" s="85" t="s">
        <v>146</v>
      </c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116">
        <v>221.66</v>
      </c>
      <c r="V567" s="120">
        <v>299.91000000000003</v>
      </c>
      <c r="W567" s="120">
        <v>51.25</v>
      </c>
      <c r="X567" s="120" t="s">
        <v>207</v>
      </c>
      <c r="Y567" s="120">
        <v>39.299999999999997</v>
      </c>
      <c r="Z567" s="120" t="s">
        <v>207</v>
      </c>
      <c r="AA567" s="120">
        <v>37.82</v>
      </c>
      <c r="AB567" s="120" t="s">
        <v>207</v>
      </c>
      <c r="AC567" s="120">
        <v>24.87</v>
      </c>
      <c r="AD567" s="120" t="s">
        <v>207</v>
      </c>
      <c r="AE567" s="120">
        <v>15.8</v>
      </c>
      <c r="AF567" s="120" t="s">
        <v>207</v>
      </c>
      <c r="AG567" s="120">
        <v>8.08</v>
      </c>
      <c r="AH567" s="120" t="s">
        <v>207</v>
      </c>
      <c r="AI567" s="120">
        <v>7.25</v>
      </c>
      <c r="AJ567" s="118" t="s">
        <v>207</v>
      </c>
      <c r="AK567" s="120">
        <v>5.97</v>
      </c>
      <c r="AL567" s="118" t="s">
        <v>207</v>
      </c>
      <c r="AM567" s="120">
        <v>11.49</v>
      </c>
      <c r="AN567" s="118" t="s">
        <v>207</v>
      </c>
      <c r="AO567" s="120">
        <v>26.74</v>
      </c>
      <c r="AP567" s="120" t="s">
        <v>207</v>
      </c>
      <c r="AQ567" s="120">
        <v>27.6</v>
      </c>
      <c r="AR567" s="120" t="s">
        <v>207</v>
      </c>
      <c r="AS567" s="120">
        <v>27.76</v>
      </c>
      <c r="AT567" s="120" t="s">
        <v>207</v>
      </c>
      <c r="AU567" s="118">
        <f t="shared" si="29"/>
        <v>283.93000000000006</v>
      </c>
      <c r="AV567" s="88"/>
      <c r="AW567" s="88"/>
      <c r="AX567" s="88"/>
      <c r="AY567" s="88"/>
      <c r="AZ567" s="88"/>
    </row>
    <row r="568" spans="1:52" s="90" customFormat="1" ht="15" customHeight="1" x14ac:dyDescent="0.3">
      <c r="A568" s="114">
        <v>557</v>
      </c>
      <c r="B568" s="174" t="s">
        <v>1249</v>
      </c>
      <c r="C568" s="120" t="s">
        <v>959</v>
      </c>
      <c r="D568" s="88"/>
      <c r="E568" s="88"/>
      <c r="F568" s="120" t="s">
        <v>958</v>
      </c>
      <c r="G568" s="25" t="s">
        <v>145</v>
      </c>
      <c r="H568" s="85" t="s">
        <v>146</v>
      </c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116">
        <v>509.56</v>
      </c>
      <c r="V568" s="120">
        <v>612.32000000000005</v>
      </c>
      <c r="W568" s="120">
        <v>105.24</v>
      </c>
      <c r="X568" s="120" t="s">
        <v>207</v>
      </c>
      <c r="Y568" s="120">
        <v>80.709999999999994</v>
      </c>
      <c r="Z568" s="120" t="s">
        <v>207</v>
      </c>
      <c r="AA568" s="120">
        <v>77.36</v>
      </c>
      <c r="AB568" s="120" t="s">
        <v>207</v>
      </c>
      <c r="AC568" s="120">
        <v>50.48</v>
      </c>
      <c r="AD568" s="120" t="s">
        <v>207</v>
      </c>
      <c r="AE568" s="120">
        <v>31.29</v>
      </c>
      <c r="AF568" s="120" t="s">
        <v>207</v>
      </c>
      <c r="AG568" s="120">
        <v>14.89</v>
      </c>
      <c r="AH568" s="120" t="s">
        <v>207</v>
      </c>
      <c r="AI568" s="120">
        <v>13.68</v>
      </c>
      <c r="AJ568" s="118" t="s">
        <v>207</v>
      </c>
      <c r="AK568" s="120">
        <v>5.97</v>
      </c>
      <c r="AL568" s="118" t="s">
        <v>207</v>
      </c>
      <c r="AM568" s="120" t="s">
        <v>962</v>
      </c>
      <c r="AN568" s="118" t="s">
        <v>207</v>
      </c>
      <c r="AO568" s="120">
        <v>54.06</v>
      </c>
      <c r="AP568" s="120" t="s">
        <v>207</v>
      </c>
      <c r="AQ568" s="120">
        <v>61.25</v>
      </c>
      <c r="AR568" s="120" t="s">
        <v>207</v>
      </c>
      <c r="AS568" s="120">
        <v>73.290000000000006</v>
      </c>
      <c r="AT568" s="120" t="s">
        <v>207</v>
      </c>
      <c r="AU568" s="118">
        <f t="shared" si="29"/>
        <v>568.22</v>
      </c>
      <c r="AV568" s="88"/>
      <c r="AW568" s="88"/>
      <c r="AX568" s="88"/>
      <c r="AY568" s="88"/>
      <c r="AZ568" s="88"/>
    </row>
    <row r="569" spans="1:52" s="90" customFormat="1" ht="15" customHeight="1" x14ac:dyDescent="0.3">
      <c r="A569" s="114">
        <v>558</v>
      </c>
      <c r="B569" s="174" t="s">
        <v>1250</v>
      </c>
      <c r="C569" s="120" t="s">
        <v>959</v>
      </c>
      <c r="D569" s="88"/>
      <c r="E569" s="88"/>
      <c r="F569" s="120" t="s">
        <v>958</v>
      </c>
      <c r="G569" s="25" t="s">
        <v>145</v>
      </c>
      <c r="H569" s="85" t="s">
        <v>146</v>
      </c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116"/>
      <c r="V569" s="120"/>
      <c r="W569" s="120"/>
      <c r="X569" s="120" t="s">
        <v>207</v>
      </c>
      <c r="Y569" s="120"/>
      <c r="Z569" s="120" t="s">
        <v>207</v>
      </c>
      <c r="AA569" s="120"/>
      <c r="AB569" s="120" t="s">
        <v>207</v>
      </c>
      <c r="AC569" s="120"/>
      <c r="AD569" s="120" t="s">
        <v>207</v>
      </c>
      <c r="AE569" s="120"/>
      <c r="AF569" s="120" t="s">
        <v>207</v>
      </c>
      <c r="AG569" s="120"/>
      <c r="AH569" s="120" t="s">
        <v>207</v>
      </c>
      <c r="AI569" s="120"/>
      <c r="AJ569" s="118" t="s">
        <v>207</v>
      </c>
      <c r="AK569" s="120"/>
      <c r="AL569" s="118" t="s">
        <v>207</v>
      </c>
      <c r="AM569" s="120"/>
      <c r="AN569" s="118" t="s">
        <v>207</v>
      </c>
      <c r="AO569" s="120"/>
      <c r="AP569" s="120" t="s">
        <v>207</v>
      </c>
      <c r="AQ569" s="120"/>
      <c r="AR569" s="120" t="s">
        <v>207</v>
      </c>
      <c r="AS569" s="120"/>
      <c r="AT569" s="120" t="s">
        <v>207</v>
      </c>
      <c r="AU569" s="118">
        <f t="shared" si="29"/>
        <v>0</v>
      </c>
      <c r="AV569" s="88"/>
      <c r="AW569" s="88"/>
      <c r="AX569" s="88"/>
      <c r="AY569" s="88"/>
      <c r="AZ569" s="88"/>
    </row>
    <row r="570" spans="1:52" s="90" customFormat="1" ht="15" customHeight="1" x14ac:dyDescent="0.3">
      <c r="A570" s="114">
        <v>559</v>
      </c>
      <c r="B570" s="174" t="s">
        <v>1251</v>
      </c>
      <c r="C570" s="120" t="s">
        <v>959</v>
      </c>
      <c r="D570" s="88"/>
      <c r="E570" s="88"/>
      <c r="F570" s="120" t="s">
        <v>958</v>
      </c>
      <c r="G570" s="25" t="s">
        <v>145</v>
      </c>
      <c r="H570" s="85" t="s">
        <v>146</v>
      </c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116"/>
      <c r="V570" s="120"/>
      <c r="W570" s="120"/>
      <c r="X570" s="120" t="s">
        <v>207</v>
      </c>
      <c r="Y570" s="120"/>
      <c r="Z570" s="120" t="s">
        <v>207</v>
      </c>
      <c r="AA570" s="120"/>
      <c r="AB570" s="120" t="s">
        <v>207</v>
      </c>
      <c r="AC570" s="120"/>
      <c r="AD570" s="120" t="s">
        <v>207</v>
      </c>
      <c r="AE570" s="120"/>
      <c r="AF570" s="120" t="s">
        <v>207</v>
      </c>
      <c r="AG570" s="120"/>
      <c r="AH570" s="120" t="s">
        <v>207</v>
      </c>
      <c r="AI570" s="120"/>
      <c r="AJ570" s="118" t="s">
        <v>207</v>
      </c>
      <c r="AK570" s="120"/>
      <c r="AL570" s="118" t="s">
        <v>207</v>
      </c>
      <c r="AM570" s="120"/>
      <c r="AN570" s="118" t="s">
        <v>207</v>
      </c>
      <c r="AO570" s="120"/>
      <c r="AP570" s="120" t="s">
        <v>207</v>
      </c>
      <c r="AQ570" s="120"/>
      <c r="AR570" s="120" t="s">
        <v>207</v>
      </c>
      <c r="AS570" s="120"/>
      <c r="AT570" s="120" t="s">
        <v>207</v>
      </c>
      <c r="AU570" s="118">
        <f t="shared" si="29"/>
        <v>0</v>
      </c>
      <c r="AV570" s="88"/>
      <c r="AW570" s="88"/>
      <c r="AX570" s="88"/>
      <c r="AY570" s="88"/>
      <c r="AZ570" s="88"/>
    </row>
    <row r="571" spans="1:52" s="90" customFormat="1" ht="15" customHeight="1" x14ac:dyDescent="0.3">
      <c r="A571" s="114">
        <v>560</v>
      </c>
      <c r="B571" s="174" t="s">
        <v>1252</v>
      </c>
      <c r="C571" s="120" t="s">
        <v>959</v>
      </c>
      <c r="D571" s="88"/>
      <c r="E571" s="88"/>
      <c r="F571" s="120" t="s">
        <v>958</v>
      </c>
      <c r="G571" s="25" t="s">
        <v>145</v>
      </c>
      <c r="H571" s="85" t="s">
        <v>146</v>
      </c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116">
        <v>230.19</v>
      </c>
      <c r="V571" s="120">
        <v>269.02999999999997</v>
      </c>
      <c r="W571" s="120">
        <v>52.71</v>
      </c>
      <c r="X571" s="120" t="s">
        <v>207</v>
      </c>
      <c r="Y571" s="120">
        <v>40.56</v>
      </c>
      <c r="Z571" s="120" t="s">
        <v>207</v>
      </c>
      <c r="AA571" s="120">
        <v>36.44</v>
      </c>
      <c r="AB571" s="120" t="s">
        <v>207</v>
      </c>
      <c r="AC571" s="120">
        <v>22.14</v>
      </c>
      <c r="AD571" s="120" t="s">
        <v>207</v>
      </c>
      <c r="AE571" s="120">
        <v>7.08</v>
      </c>
      <c r="AF571" s="120" t="s">
        <v>207</v>
      </c>
      <c r="AG571" s="120">
        <v>0</v>
      </c>
      <c r="AH571" s="120" t="s">
        <v>207</v>
      </c>
      <c r="AI571" s="120">
        <v>0</v>
      </c>
      <c r="AJ571" s="118" t="s">
        <v>207</v>
      </c>
      <c r="AK571" s="120">
        <v>0</v>
      </c>
      <c r="AL571" s="118" t="s">
        <v>207</v>
      </c>
      <c r="AM571" s="120">
        <v>0</v>
      </c>
      <c r="AN571" s="118" t="s">
        <v>207</v>
      </c>
      <c r="AO571" s="120">
        <v>17.399999999999999</v>
      </c>
      <c r="AP571" s="120" t="s">
        <v>207</v>
      </c>
      <c r="AQ571" s="120">
        <v>24.45</v>
      </c>
      <c r="AR571" s="120" t="s">
        <v>207</v>
      </c>
      <c r="AS571" s="120">
        <v>29.41</v>
      </c>
      <c r="AT571" s="120" t="s">
        <v>207</v>
      </c>
      <c r="AU571" s="118">
        <f t="shared" si="29"/>
        <v>230.19000000000003</v>
      </c>
      <c r="AV571" s="88"/>
      <c r="AW571" s="88"/>
      <c r="AX571" s="88"/>
      <c r="AY571" s="88"/>
      <c r="AZ571" s="88"/>
    </row>
    <row r="572" spans="1:52" s="90" customFormat="1" ht="15" customHeight="1" x14ac:dyDescent="0.3">
      <c r="A572" s="114">
        <v>561</v>
      </c>
      <c r="B572" s="174" t="s">
        <v>1253</v>
      </c>
      <c r="C572" s="120" t="s">
        <v>959</v>
      </c>
      <c r="D572" s="88"/>
      <c r="E572" s="88"/>
      <c r="F572" s="120" t="s">
        <v>958</v>
      </c>
      <c r="G572" s="25" t="s">
        <v>145</v>
      </c>
      <c r="H572" s="85" t="s">
        <v>146</v>
      </c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116">
        <v>168.05</v>
      </c>
      <c r="V572" s="120">
        <v>182.72</v>
      </c>
      <c r="W572" s="120">
        <v>36.020000000000003</v>
      </c>
      <c r="X572" s="120" t="s">
        <v>207</v>
      </c>
      <c r="Y572" s="120">
        <v>27.73</v>
      </c>
      <c r="Z572" s="120" t="s">
        <v>207</v>
      </c>
      <c r="AA572" s="120">
        <v>24.91</v>
      </c>
      <c r="AB572" s="120" t="s">
        <v>207</v>
      </c>
      <c r="AC572" s="120">
        <v>16.95</v>
      </c>
      <c r="AD572" s="120" t="s">
        <v>207</v>
      </c>
      <c r="AE572" s="120">
        <v>5.61</v>
      </c>
      <c r="AF572" s="120" t="s">
        <v>207</v>
      </c>
      <c r="AG572" s="120">
        <v>0</v>
      </c>
      <c r="AH572" s="120" t="s">
        <v>207</v>
      </c>
      <c r="AI572" s="120">
        <v>0</v>
      </c>
      <c r="AJ572" s="118" t="s">
        <v>207</v>
      </c>
      <c r="AK572" s="120">
        <v>0</v>
      </c>
      <c r="AL572" s="118" t="s">
        <v>207</v>
      </c>
      <c r="AM572" s="120">
        <v>0.74</v>
      </c>
      <c r="AN572" s="118" t="s">
        <v>207</v>
      </c>
      <c r="AO572" s="120">
        <v>15.65</v>
      </c>
      <c r="AP572" s="120" t="s">
        <v>207</v>
      </c>
      <c r="AQ572" s="120">
        <v>18.420000000000002</v>
      </c>
      <c r="AR572" s="120" t="s">
        <v>207</v>
      </c>
      <c r="AS572" s="120">
        <v>22.02</v>
      </c>
      <c r="AT572" s="120" t="s">
        <v>207</v>
      </c>
      <c r="AU572" s="118">
        <f t="shared" si="29"/>
        <v>168.05</v>
      </c>
      <c r="AV572" s="88"/>
      <c r="AW572" s="88"/>
      <c r="AX572" s="88"/>
      <c r="AY572" s="88"/>
      <c r="AZ572" s="88"/>
    </row>
    <row r="573" spans="1:52" s="90" customFormat="1" ht="15" customHeight="1" x14ac:dyDescent="0.3">
      <c r="A573" s="114">
        <v>562</v>
      </c>
      <c r="B573" s="174" t="s">
        <v>1254</v>
      </c>
      <c r="C573" s="120" t="s">
        <v>959</v>
      </c>
      <c r="D573" s="88"/>
      <c r="E573" s="88"/>
      <c r="F573" s="120" t="s">
        <v>958</v>
      </c>
      <c r="G573" s="25" t="s">
        <v>145</v>
      </c>
      <c r="H573" s="85" t="s">
        <v>146</v>
      </c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116">
        <v>242.25</v>
      </c>
      <c r="V573" s="120">
        <v>262.91000000000003</v>
      </c>
      <c r="W573" s="120">
        <v>51.84</v>
      </c>
      <c r="X573" s="120" t="s">
        <v>207</v>
      </c>
      <c r="Y573" s="120">
        <v>39.89</v>
      </c>
      <c r="Z573" s="120" t="s">
        <v>207</v>
      </c>
      <c r="AA573" s="120">
        <v>35.840000000000003</v>
      </c>
      <c r="AB573" s="120" t="s">
        <v>207</v>
      </c>
      <c r="AC573" s="120">
        <v>24.95</v>
      </c>
      <c r="AD573" s="120" t="s">
        <v>207</v>
      </c>
      <c r="AE573" s="120">
        <v>8.0500000000000007</v>
      </c>
      <c r="AF573" s="120" t="s">
        <v>207</v>
      </c>
      <c r="AG573" s="120">
        <v>0</v>
      </c>
      <c r="AH573" s="120" t="s">
        <v>207</v>
      </c>
      <c r="AI573" s="120">
        <v>0</v>
      </c>
      <c r="AJ573" s="118" t="s">
        <v>207</v>
      </c>
      <c r="AK573" s="120">
        <v>0</v>
      </c>
      <c r="AL573" s="118" t="s">
        <v>207</v>
      </c>
      <c r="AM573" s="120">
        <v>0.96</v>
      </c>
      <c r="AN573" s="118" t="s">
        <v>207</v>
      </c>
      <c r="AO573" s="120">
        <v>22.55</v>
      </c>
      <c r="AP573" s="120" t="s">
        <v>207</v>
      </c>
      <c r="AQ573" s="120">
        <v>26.49</v>
      </c>
      <c r="AR573" s="120" t="s">
        <v>207</v>
      </c>
      <c r="AS573" s="120">
        <v>31.68</v>
      </c>
      <c r="AT573" s="120" t="s">
        <v>207</v>
      </c>
      <c r="AU573" s="118">
        <f t="shared" ref="AU573:AU636" si="30">SUM(W573,Y573,AA573,AC573,AE573,AG573,AI573,AW573,AK573,AM573,AO573,AQ573,AS573)</f>
        <v>242.25000000000006</v>
      </c>
      <c r="AV573" s="88"/>
      <c r="AW573" s="88"/>
      <c r="AX573" s="88"/>
      <c r="AY573" s="88"/>
      <c r="AZ573" s="88"/>
    </row>
    <row r="574" spans="1:52" s="90" customFormat="1" ht="15" customHeight="1" x14ac:dyDescent="0.3">
      <c r="A574" s="114">
        <v>563</v>
      </c>
      <c r="B574" s="174" t="s">
        <v>1255</v>
      </c>
      <c r="C574" s="120" t="s">
        <v>959</v>
      </c>
      <c r="D574" s="88"/>
      <c r="E574" s="88"/>
      <c r="F574" s="120" t="s">
        <v>958</v>
      </c>
      <c r="G574" s="25" t="s">
        <v>145</v>
      </c>
      <c r="H574" s="85" t="s">
        <v>146</v>
      </c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116">
        <v>639.69000000000005</v>
      </c>
      <c r="V574" s="120">
        <v>763.48</v>
      </c>
      <c r="W574" s="120">
        <v>112.93</v>
      </c>
      <c r="X574" s="120" t="s">
        <v>207</v>
      </c>
      <c r="Y574" s="120">
        <v>125.25</v>
      </c>
      <c r="Z574" s="120" t="s">
        <v>207</v>
      </c>
      <c r="AA574" s="120">
        <v>111.11</v>
      </c>
      <c r="AB574" s="120" t="s">
        <v>207</v>
      </c>
      <c r="AC574" s="120">
        <v>63.46</v>
      </c>
      <c r="AD574" s="120" t="s">
        <v>207</v>
      </c>
      <c r="AE574" s="120">
        <v>22.3</v>
      </c>
      <c r="AF574" s="120" t="s">
        <v>207</v>
      </c>
      <c r="AG574" s="120">
        <v>0</v>
      </c>
      <c r="AH574" s="120" t="s">
        <v>207</v>
      </c>
      <c r="AI574" s="120">
        <v>0</v>
      </c>
      <c r="AJ574" s="118" t="s">
        <v>207</v>
      </c>
      <c r="AK574" s="120">
        <v>0</v>
      </c>
      <c r="AL574" s="118" t="s">
        <v>207</v>
      </c>
      <c r="AM574" s="120">
        <v>4.3600000000000003</v>
      </c>
      <c r="AN574" s="118" t="s">
        <v>207</v>
      </c>
      <c r="AO574" s="120">
        <v>34.1</v>
      </c>
      <c r="AP574" s="120" t="s">
        <v>207</v>
      </c>
      <c r="AQ574" s="120">
        <v>77.3</v>
      </c>
      <c r="AR574" s="120" t="s">
        <v>207</v>
      </c>
      <c r="AS574" s="120">
        <v>88.88</v>
      </c>
      <c r="AT574" s="120" t="s">
        <v>207</v>
      </c>
      <c r="AU574" s="118">
        <f t="shared" si="30"/>
        <v>639.69000000000005</v>
      </c>
      <c r="AV574" s="88"/>
      <c r="AW574" s="88"/>
      <c r="AX574" s="88"/>
      <c r="AY574" s="88"/>
      <c r="AZ574" s="88"/>
    </row>
    <row r="575" spans="1:52" s="90" customFormat="1" ht="15" customHeight="1" x14ac:dyDescent="0.3">
      <c r="A575" s="114">
        <v>564</v>
      </c>
      <c r="B575" s="174" t="s">
        <v>1256</v>
      </c>
      <c r="C575" s="120" t="s">
        <v>959</v>
      </c>
      <c r="D575" s="88"/>
      <c r="E575" s="88"/>
      <c r="F575" s="120" t="s">
        <v>958</v>
      </c>
      <c r="G575" s="25" t="s">
        <v>145</v>
      </c>
      <c r="H575" s="85" t="s">
        <v>146</v>
      </c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116">
        <v>284.51</v>
      </c>
      <c r="V575" s="120">
        <v>320.98</v>
      </c>
      <c r="W575" s="120">
        <v>60.59</v>
      </c>
      <c r="X575" s="120" t="s">
        <v>207</v>
      </c>
      <c r="Y575" s="120">
        <v>50.79</v>
      </c>
      <c r="Z575" s="120" t="s">
        <v>207</v>
      </c>
      <c r="AA575" s="120">
        <v>45.36</v>
      </c>
      <c r="AB575" s="120" t="s">
        <v>207</v>
      </c>
      <c r="AC575" s="120">
        <v>28.21</v>
      </c>
      <c r="AD575" s="120" t="s">
        <v>207</v>
      </c>
      <c r="AE575" s="120">
        <v>8.3000000000000007</v>
      </c>
      <c r="AF575" s="120" t="s">
        <v>207</v>
      </c>
      <c r="AG575" s="120">
        <v>0</v>
      </c>
      <c r="AH575" s="120" t="s">
        <v>207</v>
      </c>
      <c r="AI575" s="120">
        <v>0</v>
      </c>
      <c r="AJ575" s="118" t="s">
        <v>207</v>
      </c>
      <c r="AK575" s="120">
        <v>0</v>
      </c>
      <c r="AL575" s="118" t="s">
        <v>207</v>
      </c>
      <c r="AM575" s="120">
        <v>2.16</v>
      </c>
      <c r="AN575" s="118" t="s">
        <v>207</v>
      </c>
      <c r="AO575" s="120">
        <v>22.98</v>
      </c>
      <c r="AP575" s="120" t="s">
        <v>207</v>
      </c>
      <c r="AQ575" s="120">
        <v>31.31</v>
      </c>
      <c r="AR575" s="120" t="s">
        <v>207</v>
      </c>
      <c r="AS575" s="120">
        <v>34.81</v>
      </c>
      <c r="AT575" s="120" t="s">
        <v>207</v>
      </c>
      <c r="AU575" s="118">
        <f t="shared" si="30"/>
        <v>284.51</v>
      </c>
      <c r="AV575" s="88"/>
      <c r="AW575" s="88"/>
      <c r="AX575" s="88"/>
      <c r="AY575" s="88"/>
      <c r="AZ575" s="88"/>
    </row>
    <row r="576" spans="1:52" s="90" customFormat="1" ht="15" customHeight="1" x14ac:dyDescent="0.3">
      <c r="A576" s="114">
        <v>565</v>
      </c>
      <c r="B576" s="174" t="s">
        <v>1257</v>
      </c>
      <c r="C576" s="120" t="s">
        <v>959</v>
      </c>
      <c r="D576" s="88"/>
      <c r="E576" s="88"/>
      <c r="F576" s="120" t="s">
        <v>958</v>
      </c>
      <c r="G576" s="25" t="s">
        <v>145</v>
      </c>
      <c r="H576" s="85" t="s">
        <v>146</v>
      </c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116">
        <v>427.97</v>
      </c>
      <c r="V576" s="120">
        <v>481.95</v>
      </c>
      <c r="W576" s="120">
        <v>91.04</v>
      </c>
      <c r="X576" s="120" t="s">
        <v>207</v>
      </c>
      <c r="Y576" s="120">
        <v>76.28</v>
      </c>
      <c r="Z576" s="120" t="s">
        <v>207</v>
      </c>
      <c r="AA576" s="120">
        <v>68.099999999999994</v>
      </c>
      <c r="AB576" s="120" t="s">
        <v>207</v>
      </c>
      <c r="AC576" s="120">
        <v>42.5</v>
      </c>
      <c r="AD576" s="120" t="s">
        <v>207</v>
      </c>
      <c r="AE576" s="120">
        <v>12.5</v>
      </c>
      <c r="AF576" s="120" t="s">
        <v>207</v>
      </c>
      <c r="AG576" s="120">
        <v>0</v>
      </c>
      <c r="AH576" s="120" t="s">
        <v>207</v>
      </c>
      <c r="AI576" s="120">
        <v>0</v>
      </c>
      <c r="AJ576" s="118" t="s">
        <v>207</v>
      </c>
      <c r="AK576" s="120">
        <v>0</v>
      </c>
      <c r="AL576" s="118" t="s">
        <v>207</v>
      </c>
      <c r="AM576" s="120">
        <v>3.27</v>
      </c>
      <c r="AN576" s="118" t="s">
        <v>207</v>
      </c>
      <c r="AO576" s="120">
        <v>34.64</v>
      </c>
      <c r="AP576" s="120" t="s">
        <v>207</v>
      </c>
      <c r="AQ576" s="120">
        <v>47.18</v>
      </c>
      <c r="AR576" s="120" t="s">
        <v>207</v>
      </c>
      <c r="AS576" s="120">
        <v>52.46</v>
      </c>
      <c r="AT576" s="120" t="s">
        <v>207</v>
      </c>
      <c r="AU576" s="118">
        <f t="shared" si="30"/>
        <v>427.96999999999991</v>
      </c>
      <c r="AV576" s="88"/>
      <c r="AW576" s="88"/>
      <c r="AX576" s="88"/>
      <c r="AY576" s="88"/>
      <c r="AZ576" s="88"/>
    </row>
    <row r="577" spans="1:52" s="90" customFormat="1" ht="15" customHeight="1" x14ac:dyDescent="0.3">
      <c r="A577" s="114">
        <v>566</v>
      </c>
      <c r="B577" s="174" t="s">
        <v>1258</v>
      </c>
      <c r="C577" s="120" t="s">
        <v>959</v>
      </c>
      <c r="D577" s="88"/>
      <c r="E577" s="88"/>
      <c r="F577" s="120" t="s">
        <v>958</v>
      </c>
      <c r="G577" s="25" t="s">
        <v>145</v>
      </c>
      <c r="H577" s="85" t="s">
        <v>146</v>
      </c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116">
        <v>232.75</v>
      </c>
      <c r="V577" s="120">
        <v>262.06</v>
      </c>
      <c r="W577" s="120">
        <v>49.51</v>
      </c>
      <c r="X577" s="120" t="s">
        <v>207</v>
      </c>
      <c r="Y577" s="120">
        <v>41.49</v>
      </c>
      <c r="Z577" s="120" t="s">
        <v>207</v>
      </c>
      <c r="AA577" s="120">
        <v>37.03</v>
      </c>
      <c r="AB577" s="120" t="s">
        <v>207</v>
      </c>
      <c r="AC577" s="120">
        <v>23.11</v>
      </c>
      <c r="AD577" s="120" t="s">
        <v>207</v>
      </c>
      <c r="AE577" s="120">
        <v>6.81</v>
      </c>
      <c r="AF577" s="120" t="s">
        <v>207</v>
      </c>
      <c r="AG577" s="120">
        <v>0</v>
      </c>
      <c r="AH577" s="120" t="s">
        <v>207</v>
      </c>
      <c r="AI577" s="120">
        <v>0</v>
      </c>
      <c r="AJ577" s="118" t="s">
        <v>207</v>
      </c>
      <c r="AK577" s="120">
        <v>0</v>
      </c>
      <c r="AL577" s="118" t="s">
        <v>207</v>
      </c>
      <c r="AM577" s="120">
        <v>1.77</v>
      </c>
      <c r="AN577" s="118" t="s">
        <v>207</v>
      </c>
      <c r="AO577" s="120">
        <v>18.84</v>
      </c>
      <c r="AP577" s="120" t="s">
        <v>207</v>
      </c>
      <c r="AQ577" s="120">
        <v>25.66</v>
      </c>
      <c r="AR577" s="120" t="s">
        <v>207</v>
      </c>
      <c r="AS577" s="120">
        <v>28.53</v>
      </c>
      <c r="AT577" s="120" t="s">
        <v>207</v>
      </c>
      <c r="AU577" s="118">
        <f t="shared" si="30"/>
        <v>232.75</v>
      </c>
      <c r="AV577" s="88"/>
      <c r="AW577" s="88"/>
      <c r="AX577" s="88"/>
      <c r="AY577" s="88"/>
      <c r="AZ577" s="88"/>
    </row>
    <row r="578" spans="1:52" s="90" customFormat="1" ht="15" customHeight="1" x14ac:dyDescent="0.3">
      <c r="A578" s="114">
        <v>567</v>
      </c>
      <c r="B578" s="174" t="s">
        <v>1259</v>
      </c>
      <c r="C578" s="120" t="s">
        <v>959</v>
      </c>
      <c r="D578" s="88"/>
      <c r="E578" s="88"/>
      <c r="F578" s="120" t="s">
        <v>958</v>
      </c>
      <c r="G578" s="25" t="s">
        <v>145</v>
      </c>
      <c r="H578" s="85" t="s">
        <v>146</v>
      </c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116">
        <v>104.25</v>
      </c>
      <c r="V578" s="120">
        <v>117.94</v>
      </c>
      <c r="W578" s="120">
        <v>22.27</v>
      </c>
      <c r="X578" s="120" t="s">
        <v>207</v>
      </c>
      <c r="Y578" s="120">
        <v>18.670000000000002</v>
      </c>
      <c r="Z578" s="120" t="s">
        <v>207</v>
      </c>
      <c r="AA578" s="120">
        <v>16.670000000000002</v>
      </c>
      <c r="AB578" s="120" t="s">
        <v>207</v>
      </c>
      <c r="AC578" s="120">
        <v>10.37</v>
      </c>
      <c r="AD578" s="120" t="s">
        <v>207</v>
      </c>
      <c r="AE578" s="120">
        <v>3.06</v>
      </c>
      <c r="AF578" s="120" t="s">
        <v>207</v>
      </c>
      <c r="AG578" s="120">
        <v>0</v>
      </c>
      <c r="AH578" s="120" t="s">
        <v>207</v>
      </c>
      <c r="AI578" s="120">
        <v>0</v>
      </c>
      <c r="AJ578" s="118" t="s">
        <v>207</v>
      </c>
      <c r="AK578" s="120">
        <v>0</v>
      </c>
      <c r="AL578" s="118" t="s">
        <v>207</v>
      </c>
      <c r="AM578" s="120">
        <v>0.46</v>
      </c>
      <c r="AN578" s="118" t="s">
        <v>207</v>
      </c>
      <c r="AO578" s="120">
        <v>8.4700000000000006</v>
      </c>
      <c r="AP578" s="120" t="s">
        <v>207</v>
      </c>
      <c r="AQ578" s="120">
        <v>11.47</v>
      </c>
      <c r="AR578" s="120" t="s">
        <v>207</v>
      </c>
      <c r="AS578" s="120">
        <v>12.81</v>
      </c>
      <c r="AT578" s="120" t="s">
        <v>207</v>
      </c>
      <c r="AU578" s="118">
        <f t="shared" si="30"/>
        <v>104.25</v>
      </c>
      <c r="AV578" s="88"/>
      <c r="AW578" s="88"/>
      <c r="AX578" s="88"/>
      <c r="AY578" s="88"/>
      <c r="AZ578" s="88"/>
    </row>
    <row r="579" spans="1:52" s="90" customFormat="1" ht="15" customHeight="1" x14ac:dyDescent="0.3">
      <c r="A579" s="114">
        <v>568</v>
      </c>
      <c r="B579" s="174" t="s">
        <v>1260</v>
      </c>
      <c r="C579" s="120" t="s">
        <v>959</v>
      </c>
      <c r="D579" s="88"/>
      <c r="E579" s="88"/>
      <c r="F579" s="120" t="s">
        <v>958</v>
      </c>
      <c r="G579" s="25" t="s">
        <v>145</v>
      </c>
      <c r="H579" s="85" t="s">
        <v>146</v>
      </c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116">
        <v>624.02</v>
      </c>
      <c r="V579" s="120">
        <v>733.11</v>
      </c>
      <c r="W579" s="120">
        <v>138.49</v>
      </c>
      <c r="X579" s="120" t="s">
        <v>207</v>
      </c>
      <c r="Y579" s="120">
        <v>116.06</v>
      </c>
      <c r="Z579" s="120" t="s">
        <v>207</v>
      </c>
      <c r="AA579" s="120">
        <v>102.76</v>
      </c>
      <c r="AB579" s="120" t="s">
        <v>207</v>
      </c>
      <c r="AC579" s="120">
        <v>64.87</v>
      </c>
      <c r="AD579" s="120" t="s">
        <v>207</v>
      </c>
      <c r="AE579" s="120">
        <v>0</v>
      </c>
      <c r="AF579" s="120" t="s">
        <v>207</v>
      </c>
      <c r="AG579" s="120">
        <v>0</v>
      </c>
      <c r="AH579" s="120" t="s">
        <v>207</v>
      </c>
      <c r="AI579" s="120">
        <v>0</v>
      </c>
      <c r="AJ579" s="118" t="s">
        <v>207</v>
      </c>
      <c r="AK579" s="120">
        <v>0</v>
      </c>
      <c r="AL579" s="118" t="s">
        <v>207</v>
      </c>
      <c r="AM579" s="120">
        <v>2.77</v>
      </c>
      <c r="AN579" s="118" t="s">
        <v>207</v>
      </c>
      <c r="AO579" s="120">
        <v>51.3</v>
      </c>
      <c r="AP579" s="120" t="s">
        <v>207</v>
      </c>
      <c r="AQ579" s="120">
        <v>70.069999999999993</v>
      </c>
      <c r="AR579" s="120" t="s">
        <v>207</v>
      </c>
      <c r="AS579" s="120">
        <v>77.7</v>
      </c>
      <c r="AT579" s="120" t="s">
        <v>207</v>
      </c>
      <c r="AU579" s="118">
        <f t="shared" si="30"/>
        <v>624.02</v>
      </c>
      <c r="AV579" s="88"/>
      <c r="AW579" s="88"/>
      <c r="AX579" s="88"/>
      <c r="AY579" s="88"/>
      <c r="AZ579" s="88"/>
    </row>
    <row r="580" spans="1:52" s="90" customFormat="1" ht="15" customHeight="1" x14ac:dyDescent="0.3">
      <c r="A580" s="114">
        <v>569</v>
      </c>
      <c r="B580" s="174" t="s">
        <v>1261</v>
      </c>
      <c r="C580" s="120" t="s">
        <v>959</v>
      </c>
      <c r="D580" s="88"/>
      <c r="E580" s="88"/>
      <c r="F580" s="120" t="s">
        <v>958</v>
      </c>
      <c r="G580" s="25" t="s">
        <v>145</v>
      </c>
      <c r="H580" s="85" t="s">
        <v>146</v>
      </c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116">
        <v>508.66</v>
      </c>
      <c r="V580" s="120">
        <v>575.07000000000005</v>
      </c>
      <c r="W580" s="120">
        <v>108.64</v>
      </c>
      <c r="X580" s="120" t="s">
        <v>207</v>
      </c>
      <c r="Y580" s="120">
        <v>91.04</v>
      </c>
      <c r="Z580" s="120" t="s">
        <v>207</v>
      </c>
      <c r="AA580" s="120">
        <v>80.599999999999994</v>
      </c>
      <c r="AB580" s="120" t="s">
        <v>207</v>
      </c>
      <c r="AC580" s="120">
        <v>50.92</v>
      </c>
      <c r="AD580" s="120" t="s">
        <v>207</v>
      </c>
      <c r="AE580" s="120">
        <v>14.91</v>
      </c>
      <c r="AF580" s="120" t="s">
        <v>207</v>
      </c>
      <c r="AG580" s="120">
        <v>0</v>
      </c>
      <c r="AH580" s="120" t="s">
        <v>207</v>
      </c>
      <c r="AI580" s="120">
        <v>0</v>
      </c>
      <c r="AJ580" s="118" t="s">
        <v>207</v>
      </c>
      <c r="AK580" s="120">
        <v>0</v>
      </c>
      <c r="AL580" s="118" t="s">
        <v>207</v>
      </c>
      <c r="AM580" s="120">
        <v>2.2200000000000002</v>
      </c>
      <c r="AN580" s="118" t="s">
        <v>207</v>
      </c>
      <c r="AO580" s="120">
        <v>41.31</v>
      </c>
      <c r="AP580" s="120" t="s">
        <v>207</v>
      </c>
      <c r="AQ580" s="120">
        <v>56.44</v>
      </c>
      <c r="AR580" s="120" t="s">
        <v>207</v>
      </c>
      <c r="AS580" s="120">
        <v>62.58</v>
      </c>
      <c r="AT580" s="120" t="s">
        <v>207</v>
      </c>
      <c r="AU580" s="118">
        <f t="shared" si="30"/>
        <v>508.66</v>
      </c>
      <c r="AV580" s="88"/>
      <c r="AW580" s="88"/>
      <c r="AX580" s="88"/>
      <c r="AY580" s="88"/>
      <c r="AZ580" s="88"/>
    </row>
    <row r="581" spans="1:52" s="90" customFormat="1" ht="15" customHeight="1" x14ac:dyDescent="0.3">
      <c r="A581" s="114">
        <v>570</v>
      </c>
      <c r="B581" s="174" t="s">
        <v>1262</v>
      </c>
      <c r="C581" s="120" t="s">
        <v>959</v>
      </c>
      <c r="D581" s="88"/>
      <c r="E581" s="88"/>
      <c r="F581" s="120" t="s">
        <v>958</v>
      </c>
      <c r="G581" s="25" t="s">
        <v>145</v>
      </c>
      <c r="H581" s="85" t="s">
        <v>146</v>
      </c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116">
        <v>438.74</v>
      </c>
      <c r="V581" s="120">
        <v>495.46</v>
      </c>
      <c r="W581" s="120">
        <v>93.61</v>
      </c>
      <c r="X581" s="120" t="s">
        <v>207</v>
      </c>
      <c r="Y581" s="120">
        <v>78.45</v>
      </c>
      <c r="Z581" s="120" t="s">
        <v>207</v>
      </c>
      <c r="AA581" s="120">
        <v>70.010000000000005</v>
      </c>
      <c r="AB581" s="120" t="s">
        <v>207</v>
      </c>
      <c r="AC581" s="120">
        <v>43.85</v>
      </c>
      <c r="AD581" s="120" t="s">
        <v>207</v>
      </c>
      <c r="AE581" s="120">
        <v>12.85</v>
      </c>
      <c r="AF581" s="120" t="s">
        <v>207</v>
      </c>
      <c r="AG581" s="120">
        <v>0</v>
      </c>
      <c r="AH581" s="120" t="s">
        <v>207</v>
      </c>
      <c r="AI581" s="120">
        <v>0</v>
      </c>
      <c r="AJ581" s="118" t="s">
        <v>207</v>
      </c>
      <c r="AK581" s="120">
        <v>0</v>
      </c>
      <c r="AL581" s="118" t="s">
        <v>207</v>
      </c>
      <c r="AM581" s="120">
        <v>1.9</v>
      </c>
      <c r="AN581" s="118" t="s">
        <v>207</v>
      </c>
      <c r="AO581" s="120">
        <v>35.58</v>
      </c>
      <c r="AP581" s="120" t="s">
        <v>207</v>
      </c>
      <c r="AQ581" s="120">
        <v>48.6</v>
      </c>
      <c r="AR581" s="120" t="s">
        <v>207</v>
      </c>
      <c r="AS581" s="120">
        <v>53.89</v>
      </c>
      <c r="AT581" s="120" t="s">
        <v>207</v>
      </c>
      <c r="AU581" s="118">
        <f t="shared" si="30"/>
        <v>438.74</v>
      </c>
      <c r="AV581" s="88"/>
      <c r="AW581" s="88"/>
      <c r="AX581" s="88"/>
      <c r="AY581" s="88"/>
      <c r="AZ581" s="88"/>
    </row>
    <row r="582" spans="1:52" s="90" customFormat="1" ht="15" customHeight="1" x14ac:dyDescent="0.3">
      <c r="A582" s="114">
        <v>571</v>
      </c>
      <c r="B582" s="174" t="s">
        <v>1263</v>
      </c>
      <c r="C582" s="120" t="s">
        <v>963</v>
      </c>
      <c r="D582" s="88"/>
      <c r="E582" s="88"/>
      <c r="F582" s="120" t="s">
        <v>958</v>
      </c>
      <c r="G582" s="25" t="s">
        <v>145</v>
      </c>
      <c r="H582" s="85" t="s">
        <v>146</v>
      </c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116"/>
      <c r="V582" s="120"/>
      <c r="W582" s="120"/>
      <c r="X582" s="120" t="s">
        <v>207</v>
      </c>
      <c r="Y582" s="120"/>
      <c r="Z582" s="120" t="s">
        <v>207</v>
      </c>
      <c r="AA582" s="120"/>
      <c r="AB582" s="120" t="s">
        <v>207</v>
      </c>
      <c r="AC582" s="120"/>
      <c r="AD582" s="120" t="s">
        <v>207</v>
      </c>
      <c r="AE582" s="120"/>
      <c r="AF582" s="120" t="s">
        <v>207</v>
      </c>
      <c r="AG582" s="120"/>
      <c r="AH582" s="120" t="s">
        <v>207</v>
      </c>
      <c r="AI582" s="120"/>
      <c r="AJ582" s="118" t="s">
        <v>207</v>
      </c>
      <c r="AK582" s="120"/>
      <c r="AL582" s="118" t="s">
        <v>207</v>
      </c>
      <c r="AM582" s="120"/>
      <c r="AN582" s="118" t="s">
        <v>207</v>
      </c>
      <c r="AO582" s="120"/>
      <c r="AP582" s="120" t="s">
        <v>207</v>
      </c>
      <c r="AQ582" s="120"/>
      <c r="AR582" s="120" t="s">
        <v>207</v>
      </c>
      <c r="AS582" s="120"/>
      <c r="AT582" s="120" t="s">
        <v>207</v>
      </c>
      <c r="AU582" s="118">
        <f t="shared" si="30"/>
        <v>0</v>
      </c>
      <c r="AV582" s="88"/>
      <c r="AW582" s="88"/>
      <c r="AX582" s="88"/>
      <c r="AY582" s="88"/>
      <c r="AZ582" s="88"/>
    </row>
    <row r="583" spans="1:52" s="90" customFormat="1" ht="15" customHeight="1" x14ac:dyDescent="0.3">
      <c r="A583" s="114">
        <v>572</v>
      </c>
      <c r="B583" s="174" t="s">
        <v>1264</v>
      </c>
      <c r="C583" s="120" t="s">
        <v>959</v>
      </c>
      <c r="D583" s="88"/>
      <c r="E583" s="88"/>
      <c r="F583" s="120" t="s">
        <v>958</v>
      </c>
      <c r="G583" s="25" t="s">
        <v>145</v>
      </c>
      <c r="H583" s="85" t="s">
        <v>146</v>
      </c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116"/>
      <c r="V583" s="120"/>
      <c r="W583" s="120"/>
      <c r="X583" s="120" t="s">
        <v>207</v>
      </c>
      <c r="Y583" s="120"/>
      <c r="Z583" s="120" t="s">
        <v>207</v>
      </c>
      <c r="AA583" s="120"/>
      <c r="AB583" s="120" t="s">
        <v>207</v>
      </c>
      <c r="AC583" s="120"/>
      <c r="AD583" s="120" t="s">
        <v>207</v>
      </c>
      <c r="AE583" s="120"/>
      <c r="AF583" s="120" t="s">
        <v>207</v>
      </c>
      <c r="AG583" s="120"/>
      <c r="AH583" s="120" t="s">
        <v>207</v>
      </c>
      <c r="AI583" s="120"/>
      <c r="AJ583" s="118" t="s">
        <v>207</v>
      </c>
      <c r="AK583" s="120"/>
      <c r="AL583" s="118" t="s">
        <v>207</v>
      </c>
      <c r="AM583" s="120"/>
      <c r="AN583" s="118" t="s">
        <v>207</v>
      </c>
      <c r="AO583" s="120"/>
      <c r="AP583" s="120" t="s">
        <v>207</v>
      </c>
      <c r="AQ583" s="120"/>
      <c r="AR583" s="120" t="s">
        <v>207</v>
      </c>
      <c r="AS583" s="120"/>
      <c r="AT583" s="120" t="s">
        <v>207</v>
      </c>
      <c r="AU583" s="118">
        <f t="shared" si="30"/>
        <v>0</v>
      </c>
      <c r="AV583" s="88"/>
      <c r="AW583" s="88"/>
      <c r="AX583" s="88"/>
      <c r="AY583" s="88"/>
      <c r="AZ583" s="88"/>
    </row>
    <row r="584" spans="1:52" s="90" customFormat="1" ht="15" customHeight="1" x14ac:dyDescent="0.3">
      <c r="A584" s="114">
        <v>573</v>
      </c>
      <c r="B584" s="174" t="s">
        <v>1265</v>
      </c>
      <c r="C584" s="120" t="s">
        <v>804</v>
      </c>
      <c r="D584" s="88"/>
      <c r="E584" s="88"/>
      <c r="F584" s="120" t="s">
        <v>958</v>
      </c>
      <c r="G584" s="25" t="s">
        <v>145</v>
      </c>
      <c r="H584" s="85" t="s">
        <v>146</v>
      </c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116">
        <v>4057.52</v>
      </c>
      <c r="V584" s="120">
        <v>4947.6000000000004</v>
      </c>
      <c r="W584" s="120">
        <v>681.01</v>
      </c>
      <c r="X584" s="120" t="s">
        <v>207</v>
      </c>
      <c r="Y584" s="120">
        <v>519.11</v>
      </c>
      <c r="Z584" s="120" t="s">
        <v>207</v>
      </c>
      <c r="AA584" s="120">
        <v>450.96</v>
      </c>
      <c r="AB584" s="120" t="s">
        <v>207</v>
      </c>
      <c r="AC584" s="120">
        <v>418.48</v>
      </c>
      <c r="AD584" s="120" t="s">
        <v>207</v>
      </c>
      <c r="AE584" s="120">
        <v>161.74</v>
      </c>
      <c r="AF584" s="120" t="s">
        <v>207</v>
      </c>
      <c r="AG584" s="120">
        <v>69.569999999999993</v>
      </c>
      <c r="AH584" s="120" t="s">
        <v>207</v>
      </c>
      <c r="AI584" s="120">
        <v>53.98</v>
      </c>
      <c r="AJ584" s="118" t="s">
        <v>207</v>
      </c>
      <c r="AK584" s="120">
        <v>49.53</v>
      </c>
      <c r="AL584" s="118" t="s">
        <v>207</v>
      </c>
      <c r="AM584" s="120">
        <v>72.25</v>
      </c>
      <c r="AN584" s="118" t="s">
        <v>207</v>
      </c>
      <c r="AO584" s="120">
        <v>373.31</v>
      </c>
      <c r="AP584" s="120" t="s">
        <v>207</v>
      </c>
      <c r="AQ584" s="120">
        <v>412.77</v>
      </c>
      <c r="AR584" s="120" t="s">
        <v>207</v>
      </c>
      <c r="AS584" s="120">
        <v>528.6</v>
      </c>
      <c r="AT584" s="120" t="s">
        <v>207</v>
      </c>
      <c r="AU584" s="118">
        <f t="shared" si="30"/>
        <v>3791.3100000000004</v>
      </c>
      <c r="AV584" s="88"/>
      <c r="AW584" s="88"/>
      <c r="AX584" s="88"/>
      <c r="AY584" s="88"/>
      <c r="AZ584" s="88"/>
    </row>
    <row r="585" spans="1:52" s="90" customFormat="1" ht="15" customHeight="1" x14ac:dyDescent="0.3">
      <c r="A585" s="114">
        <v>574</v>
      </c>
      <c r="B585" s="174" t="s">
        <v>1266</v>
      </c>
      <c r="C585" s="120" t="s">
        <v>804</v>
      </c>
      <c r="D585" s="88"/>
      <c r="E585" s="88"/>
      <c r="F585" s="120" t="s">
        <v>958</v>
      </c>
      <c r="G585" s="25" t="s">
        <v>145</v>
      </c>
      <c r="H585" s="85" t="s">
        <v>146</v>
      </c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116">
        <v>3307.67</v>
      </c>
      <c r="V585" s="120">
        <v>4006.61</v>
      </c>
      <c r="W585" s="120">
        <v>519.51</v>
      </c>
      <c r="X585" s="120" t="s">
        <v>207</v>
      </c>
      <c r="Y585" s="120">
        <v>502.03</v>
      </c>
      <c r="Z585" s="120" t="s">
        <v>207</v>
      </c>
      <c r="AA585" s="120">
        <v>575.03</v>
      </c>
      <c r="AB585" s="120" t="s">
        <v>207</v>
      </c>
      <c r="AC585" s="120">
        <v>338.06</v>
      </c>
      <c r="AD585" s="120" t="s">
        <v>207</v>
      </c>
      <c r="AE585" s="120">
        <v>150.37</v>
      </c>
      <c r="AF585" s="120" t="s">
        <v>207</v>
      </c>
      <c r="AG585" s="120">
        <v>74.92</v>
      </c>
      <c r="AH585" s="120" t="s">
        <v>207</v>
      </c>
      <c r="AI585" s="120">
        <v>66.53</v>
      </c>
      <c r="AJ585" s="118" t="s">
        <v>207</v>
      </c>
      <c r="AK585" s="120">
        <v>63.5</v>
      </c>
      <c r="AL585" s="118" t="s">
        <v>207</v>
      </c>
      <c r="AM585" s="120">
        <v>85.29</v>
      </c>
      <c r="AN585" s="118" t="s">
        <v>207</v>
      </c>
      <c r="AO585" s="120">
        <v>358.83</v>
      </c>
      <c r="AP585" s="120" t="s">
        <v>207</v>
      </c>
      <c r="AQ585" s="120">
        <v>336.1</v>
      </c>
      <c r="AR585" s="120" t="s">
        <v>207</v>
      </c>
      <c r="AS585" s="120">
        <v>439.29</v>
      </c>
      <c r="AT585" s="120" t="s">
        <v>207</v>
      </c>
      <c r="AU585" s="118">
        <f t="shared" si="30"/>
        <v>3509.46</v>
      </c>
      <c r="AV585" s="88"/>
      <c r="AW585" s="88"/>
      <c r="AX585" s="88"/>
      <c r="AY585" s="88"/>
      <c r="AZ585" s="88"/>
    </row>
    <row r="586" spans="1:52" s="90" customFormat="1" ht="15" customHeight="1" x14ac:dyDescent="0.3">
      <c r="A586" s="114">
        <v>575</v>
      </c>
      <c r="B586" s="174" t="s">
        <v>1267</v>
      </c>
      <c r="C586" s="120" t="s">
        <v>804</v>
      </c>
      <c r="D586" s="88"/>
      <c r="E586" s="88"/>
      <c r="F586" s="120" t="s">
        <v>958</v>
      </c>
      <c r="G586" s="25" t="s">
        <v>145</v>
      </c>
      <c r="H586" s="85" t="s">
        <v>146</v>
      </c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116">
        <v>3569.32</v>
      </c>
      <c r="V586" s="120">
        <v>4352.05</v>
      </c>
      <c r="W586" s="120">
        <v>573.82000000000005</v>
      </c>
      <c r="X586" s="120" t="s">
        <v>207</v>
      </c>
      <c r="Y586" s="120">
        <v>423.17</v>
      </c>
      <c r="Z586" s="120" t="s">
        <v>207</v>
      </c>
      <c r="AA586" s="120">
        <v>598.17999999999995</v>
      </c>
      <c r="AB586" s="120" t="s">
        <v>207</v>
      </c>
      <c r="AC586" s="120">
        <v>310.18</v>
      </c>
      <c r="AD586" s="120" t="s">
        <v>207</v>
      </c>
      <c r="AE586" s="120">
        <v>144.09</v>
      </c>
      <c r="AF586" s="120" t="s">
        <v>207</v>
      </c>
      <c r="AG586" s="120">
        <v>72.05</v>
      </c>
      <c r="AH586" s="120" t="s">
        <v>207</v>
      </c>
      <c r="AI586" s="120">
        <v>61.99</v>
      </c>
      <c r="AJ586" s="118" t="s">
        <v>207</v>
      </c>
      <c r="AK586" s="120">
        <v>58.41</v>
      </c>
      <c r="AL586" s="118" t="s">
        <v>207</v>
      </c>
      <c r="AM586" s="120">
        <v>81.7</v>
      </c>
      <c r="AN586" s="118" t="s">
        <v>207</v>
      </c>
      <c r="AO586" s="120">
        <v>300.25</v>
      </c>
      <c r="AP586" s="120" t="s">
        <v>207</v>
      </c>
      <c r="AQ586" s="120">
        <v>313.16000000000003</v>
      </c>
      <c r="AR586" s="120" t="s">
        <v>207</v>
      </c>
      <c r="AS586" s="120">
        <v>398.35</v>
      </c>
      <c r="AT586" s="120" t="s">
        <v>207</v>
      </c>
      <c r="AU586" s="118">
        <f t="shared" si="30"/>
        <v>3335.3499999999995</v>
      </c>
      <c r="AV586" s="88"/>
      <c r="AW586" s="88"/>
      <c r="AX586" s="88"/>
      <c r="AY586" s="88"/>
      <c r="AZ586" s="88"/>
    </row>
    <row r="587" spans="1:52" s="90" customFormat="1" ht="15" customHeight="1" x14ac:dyDescent="0.3">
      <c r="A587" s="114">
        <v>576</v>
      </c>
      <c r="B587" s="174" t="s">
        <v>1268</v>
      </c>
      <c r="C587" s="120" t="s">
        <v>804</v>
      </c>
      <c r="D587" s="88"/>
      <c r="E587" s="88"/>
      <c r="F587" s="120" t="s">
        <v>958</v>
      </c>
      <c r="G587" s="25" t="s">
        <v>145</v>
      </c>
      <c r="H587" s="85" t="s">
        <v>146</v>
      </c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116">
        <v>3366.54</v>
      </c>
      <c r="V587" s="120">
        <v>4118.6000000000004</v>
      </c>
      <c r="W587" s="120">
        <v>587.41999999999996</v>
      </c>
      <c r="X587" s="120" t="s">
        <v>207</v>
      </c>
      <c r="Y587" s="120">
        <v>377.93</v>
      </c>
      <c r="Z587" s="120" t="s">
        <v>207</v>
      </c>
      <c r="AA587" s="120">
        <v>559.88</v>
      </c>
      <c r="AB587" s="120" t="s">
        <v>207</v>
      </c>
      <c r="AC587" s="120">
        <v>316.61</v>
      </c>
      <c r="AD587" s="120" t="s">
        <v>207</v>
      </c>
      <c r="AE587" s="120">
        <v>148.66</v>
      </c>
      <c r="AF587" s="120" t="s">
        <v>207</v>
      </c>
      <c r="AG587" s="120">
        <v>69.099999999999994</v>
      </c>
      <c r="AH587" s="120" t="s">
        <v>207</v>
      </c>
      <c r="AI587" s="120">
        <v>56.77</v>
      </c>
      <c r="AJ587" s="118" t="s">
        <v>207</v>
      </c>
      <c r="AK587" s="120">
        <v>55.53</v>
      </c>
      <c r="AL587" s="118" t="s">
        <v>207</v>
      </c>
      <c r="AM587" s="120">
        <v>78.03</v>
      </c>
      <c r="AN587" s="118" t="s">
        <v>207</v>
      </c>
      <c r="AO587" s="120">
        <v>359.69</v>
      </c>
      <c r="AP587" s="120" t="s">
        <v>207</v>
      </c>
      <c r="AQ587" s="120">
        <v>354.87</v>
      </c>
      <c r="AR587" s="120" t="s">
        <v>207</v>
      </c>
      <c r="AS587" s="120">
        <v>439.24</v>
      </c>
      <c r="AT587" s="120" t="s">
        <v>207</v>
      </c>
      <c r="AU587" s="118">
        <f t="shared" si="30"/>
        <v>3403.7300000000005</v>
      </c>
      <c r="AV587" s="88"/>
      <c r="AW587" s="88"/>
      <c r="AX587" s="88"/>
      <c r="AY587" s="88"/>
      <c r="AZ587" s="88"/>
    </row>
    <row r="588" spans="1:52" s="90" customFormat="1" ht="15" customHeight="1" x14ac:dyDescent="0.3">
      <c r="A588" s="114">
        <v>577</v>
      </c>
      <c r="B588" s="174" t="s">
        <v>1269</v>
      </c>
      <c r="C588" s="120" t="s">
        <v>804</v>
      </c>
      <c r="D588" s="88"/>
      <c r="E588" s="88"/>
      <c r="F588" s="120" t="s">
        <v>958</v>
      </c>
      <c r="G588" s="25" t="s">
        <v>145</v>
      </c>
      <c r="H588" s="85" t="s">
        <v>146</v>
      </c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116"/>
      <c r="V588" s="120"/>
      <c r="W588" s="120">
        <v>0</v>
      </c>
      <c r="X588" s="120" t="s">
        <v>207</v>
      </c>
      <c r="Y588" s="120">
        <v>0</v>
      </c>
      <c r="Z588" s="120" t="s">
        <v>207</v>
      </c>
      <c r="AA588" s="120">
        <v>0</v>
      </c>
      <c r="AB588" s="120" t="s">
        <v>207</v>
      </c>
      <c r="AC588" s="120">
        <v>0</v>
      </c>
      <c r="AD588" s="120" t="s">
        <v>207</v>
      </c>
      <c r="AE588" s="120">
        <v>1141.47</v>
      </c>
      <c r="AF588" s="120" t="s">
        <v>207</v>
      </c>
      <c r="AG588" s="120">
        <v>38.69</v>
      </c>
      <c r="AH588" s="120" t="s">
        <v>207</v>
      </c>
      <c r="AI588" s="120">
        <v>37.340000000000003</v>
      </c>
      <c r="AJ588" s="118" t="s">
        <v>207</v>
      </c>
      <c r="AK588" s="120">
        <v>37.39</v>
      </c>
      <c r="AL588" s="118" t="s">
        <v>207</v>
      </c>
      <c r="AM588" s="120">
        <v>53.4</v>
      </c>
      <c r="AN588" s="118" t="s">
        <v>207</v>
      </c>
      <c r="AO588" s="120">
        <v>171.74</v>
      </c>
      <c r="AP588" s="120" t="s">
        <v>207</v>
      </c>
      <c r="AQ588" s="120">
        <v>168.61</v>
      </c>
      <c r="AR588" s="120" t="s">
        <v>207</v>
      </c>
      <c r="AS588" s="120">
        <v>235.36</v>
      </c>
      <c r="AT588" s="120" t="s">
        <v>207</v>
      </c>
      <c r="AU588" s="118">
        <f t="shared" si="30"/>
        <v>1884.0000000000005</v>
      </c>
      <c r="AV588" s="88"/>
      <c r="AW588" s="88"/>
      <c r="AX588" s="88"/>
      <c r="AY588" s="88"/>
      <c r="AZ588" s="88"/>
    </row>
    <row r="589" spans="1:52" s="90" customFormat="1" ht="15" customHeight="1" x14ac:dyDescent="0.3">
      <c r="A589" s="114">
        <v>578</v>
      </c>
      <c r="B589" s="174" t="s">
        <v>1270</v>
      </c>
      <c r="C589" s="120" t="s">
        <v>804</v>
      </c>
      <c r="D589" s="88"/>
      <c r="E589" s="88"/>
      <c r="F589" s="120" t="s">
        <v>958</v>
      </c>
      <c r="G589" s="25" t="s">
        <v>145</v>
      </c>
      <c r="H589" s="85" t="s">
        <v>146</v>
      </c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116"/>
      <c r="V589" s="120"/>
      <c r="W589" s="120">
        <v>0</v>
      </c>
      <c r="X589" s="120" t="s">
        <v>207</v>
      </c>
      <c r="Y589" s="120">
        <v>0</v>
      </c>
      <c r="Z589" s="120" t="s">
        <v>207</v>
      </c>
      <c r="AA589" s="120">
        <v>0</v>
      </c>
      <c r="AB589" s="120" t="s">
        <v>207</v>
      </c>
      <c r="AC589" s="120">
        <v>0</v>
      </c>
      <c r="AD589" s="120" t="s">
        <v>207</v>
      </c>
      <c r="AE589" s="120">
        <v>1093.3800000000001</v>
      </c>
      <c r="AF589" s="120" t="s">
        <v>207</v>
      </c>
      <c r="AG589" s="120">
        <v>36.25</v>
      </c>
      <c r="AH589" s="120" t="s">
        <v>207</v>
      </c>
      <c r="AI589" s="120">
        <v>41.63</v>
      </c>
      <c r="AJ589" s="118" t="s">
        <v>207</v>
      </c>
      <c r="AK589" s="120">
        <v>44.27</v>
      </c>
      <c r="AL589" s="118" t="s">
        <v>207</v>
      </c>
      <c r="AM589" s="120">
        <v>52.04</v>
      </c>
      <c r="AN589" s="118" t="s">
        <v>207</v>
      </c>
      <c r="AO589" s="120">
        <v>188.46</v>
      </c>
      <c r="AP589" s="120" t="s">
        <v>207</v>
      </c>
      <c r="AQ589" s="120">
        <v>193.18</v>
      </c>
      <c r="AR589" s="120" t="s">
        <v>207</v>
      </c>
      <c r="AS589" s="120">
        <v>232.64</v>
      </c>
      <c r="AT589" s="120" t="s">
        <v>207</v>
      </c>
      <c r="AU589" s="118">
        <f t="shared" si="30"/>
        <v>1881.8500000000004</v>
      </c>
      <c r="AV589" s="88"/>
      <c r="AW589" s="88"/>
      <c r="AX589" s="88"/>
      <c r="AY589" s="88"/>
      <c r="AZ589" s="88"/>
    </row>
    <row r="590" spans="1:52" s="90" customFormat="1" ht="15" customHeight="1" x14ac:dyDescent="0.3">
      <c r="A590" s="114">
        <v>579</v>
      </c>
      <c r="B590" s="174" t="s">
        <v>1271</v>
      </c>
      <c r="C590" s="120" t="s">
        <v>804</v>
      </c>
      <c r="D590" s="88"/>
      <c r="E590" s="88"/>
      <c r="F590" s="120" t="s">
        <v>958</v>
      </c>
      <c r="G590" s="25" t="s">
        <v>145</v>
      </c>
      <c r="H590" s="85" t="s">
        <v>146</v>
      </c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116">
        <v>1026.45</v>
      </c>
      <c r="V590" s="120">
        <v>1112.42</v>
      </c>
      <c r="W590" s="120">
        <v>140.22999999999999</v>
      </c>
      <c r="X590" s="120" t="s">
        <v>207</v>
      </c>
      <c r="Y590" s="120">
        <v>116.86</v>
      </c>
      <c r="Z590" s="120" t="s">
        <v>207</v>
      </c>
      <c r="AA590" s="120">
        <v>76.61</v>
      </c>
      <c r="AB590" s="120" t="s">
        <v>207</v>
      </c>
      <c r="AC590" s="120">
        <v>30.54</v>
      </c>
      <c r="AD590" s="120" t="s">
        <v>207</v>
      </c>
      <c r="AE590" s="120">
        <v>24.65</v>
      </c>
      <c r="AF590" s="120" t="s">
        <v>207</v>
      </c>
      <c r="AG590" s="120">
        <v>22.65</v>
      </c>
      <c r="AH590" s="120" t="s">
        <v>207</v>
      </c>
      <c r="AI590" s="120">
        <v>21.55</v>
      </c>
      <c r="AJ590" s="118" t="s">
        <v>207</v>
      </c>
      <c r="AK590" s="120">
        <v>60.34</v>
      </c>
      <c r="AL590" s="118" t="s">
        <v>207</v>
      </c>
      <c r="AM590" s="120">
        <v>174.99</v>
      </c>
      <c r="AN590" s="118" t="s">
        <v>207</v>
      </c>
      <c r="AO590" s="120">
        <v>157.49</v>
      </c>
      <c r="AP590" s="120" t="s">
        <v>207</v>
      </c>
      <c r="AQ590" s="120">
        <v>141.74</v>
      </c>
      <c r="AR590" s="120" t="s">
        <v>207</v>
      </c>
      <c r="AS590" s="120">
        <v>198.43</v>
      </c>
      <c r="AT590" s="120" t="s">
        <v>207</v>
      </c>
      <c r="AU590" s="118">
        <f t="shared" si="30"/>
        <v>1166.08</v>
      </c>
      <c r="AV590" s="88"/>
      <c r="AW590" s="88"/>
      <c r="AX590" s="88"/>
      <c r="AY590" s="88"/>
      <c r="AZ590" s="88"/>
    </row>
    <row r="591" spans="1:52" s="90" customFormat="1" ht="15" customHeight="1" x14ac:dyDescent="0.3">
      <c r="A591" s="114">
        <v>580</v>
      </c>
      <c r="B591" s="174" t="s">
        <v>1272</v>
      </c>
      <c r="C591" s="120" t="s">
        <v>804</v>
      </c>
      <c r="D591" s="88"/>
      <c r="E591" s="88"/>
      <c r="F591" s="120" t="s">
        <v>958</v>
      </c>
      <c r="G591" s="25" t="s">
        <v>145</v>
      </c>
      <c r="H591" s="85" t="s">
        <v>146</v>
      </c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116">
        <v>1329.84</v>
      </c>
      <c r="V591" s="120">
        <v>1466.74</v>
      </c>
      <c r="W591" s="120">
        <v>144</v>
      </c>
      <c r="X591" s="120" t="s">
        <v>207</v>
      </c>
      <c r="Y591" s="120">
        <v>120</v>
      </c>
      <c r="Z591" s="120" t="s">
        <v>207</v>
      </c>
      <c r="AA591" s="120">
        <v>79.75</v>
      </c>
      <c r="AB591" s="120" t="s">
        <v>207</v>
      </c>
      <c r="AC591" s="120">
        <v>41.02</v>
      </c>
      <c r="AD591" s="120" t="s">
        <v>207</v>
      </c>
      <c r="AE591" s="120">
        <v>33.72</v>
      </c>
      <c r="AF591" s="120" t="s">
        <v>207</v>
      </c>
      <c r="AG591" s="120">
        <v>32.020000000000003</v>
      </c>
      <c r="AH591" s="120" t="s">
        <v>207</v>
      </c>
      <c r="AI591" s="120">
        <v>30.62</v>
      </c>
      <c r="AJ591" s="118" t="s">
        <v>207</v>
      </c>
      <c r="AK591" s="120">
        <v>85.74</v>
      </c>
      <c r="AL591" s="118" t="s">
        <v>207</v>
      </c>
      <c r="AM591" s="120">
        <v>248.63</v>
      </c>
      <c r="AN591" s="118" t="s">
        <v>207</v>
      </c>
      <c r="AO591" s="120">
        <v>223.77</v>
      </c>
      <c r="AP591" s="120" t="s">
        <v>207</v>
      </c>
      <c r="AQ591" s="120">
        <v>201.39</v>
      </c>
      <c r="AR591" s="120" t="s">
        <v>207</v>
      </c>
      <c r="AS591" s="120">
        <v>281.95</v>
      </c>
      <c r="AT591" s="120" t="s">
        <v>207</v>
      </c>
      <c r="AU591" s="118">
        <f t="shared" si="30"/>
        <v>1522.61</v>
      </c>
      <c r="AV591" s="88"/>
      <c r="AW591" s="88"/>
      <c r="AX591" s="88"/>
      <c r="AY591" s="88"/>
      <c r="AZ591" s="88"/>
    </row>
    <row r="592" spans="1:52" s="90" customFormat="1" ht="15" customHeight="1" x14ac:dyDescent="0.3">
      <c r="A592" s="114">
        <v>581</v>
      </c>
      <c r="B592" s="174" t="s">
        <v>1273</v>
      </c>
      <c r="C592" s="120" t="s">
        <v>804</v>
      </c>
      <c r="D592" s="88"/>
      <c r="E592" s="88"/>
      <c r="F592" s="120" t="s">
        <v>958</v>
      </c>
      <c r="G592" s="25" t="s">
        <v>145</v>
      </c>
      <c r="H592" s="85" t="s">
        <v>146</v>
      </c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116">
        <v>1386.73</v>
      </c>
      <c r="V592" s="120">
        <v>1749.8</v>
      </c>
      <c r="W592" s="120">
        <v>225.86</v>
      </c>
      <c r="X592" s="120" t="s">
        <v>207</v>
      </c>
      <c r="Y592" s="120">
        <v>169.44</v>
      </c>
      <c r="Z592" s="120" t="s">
        <v>207</v>
      </c>
      <c r="AA592" s="120">
        <v>226.2</v>
      </c>
      <c r="AB592" s="120" t="s">
        <v>207</v>
      </c>
      <c r="AC592" s="120">
        <v>123.64</v>
      </c>
      <c r="AD592" s="120" t="s">
        <v>207</v>
      </c>
      <c r="AE592" s="120">
        <v>50.07</v>
      </c>
      <c r="AF592" s="120" t="s">
        <v>207</v>
      </c>
      <c r="AG592" s="120">
        <v>21.36</v>
      </c>
      <c r="AH592" s="120" t="s">
        <v>207</v>
      </c>
      <c r="AI592" s="120">
        <v>17.34</v>
      </c>
      <c r="AJ592" s="118" t="s">
        <v>207</v>
      </c>
      <c r="AK592" s="120">
        <v>72.3</v>
      </c>
      <c r="AL592" s="118" t="s">
        <v>207</v>
      </c>
      <c r="AM592" s="120">
        <v>91.99</v>
      </c>
      <c r="AN592" s="118" t="s">
        <v>207</v>
      </c>
      <c r="AO592" s="120">
        <v>115.81</v>
      </c>
      <c r="AP592" s="120" t="s">
        <v>207</v>
      </c>
      <c r="AQ592" s="120">
        <v>146.59</v>
      </c>
      <c r="AR592" s="120" t="s">
        <v>207</v>
      </c>
      <c r="AS592" s="120">
        <v>179.66</v>
      </c>
      <c r="AT592" s="120" t="s">
        <v>207</v>
      </c>
      <c r="AU592" s="118">
        <f t="shared" si="30"/>
        <v>1440.26</v>
      </c>
      <c r="AV592" s="88"/>
      <c r="AW592" s="88"/>
      <c r="AX592" s="88"/>
      <c r="AY592" s="88"/>
      <c r="AZ592" s="88"/>
    </row>
    <row r="593" spans="1:52" s="90" customFormat="1" ht="15" customHeight="1" x14ac:dyDescent="0.3">
      <c r="A593" s="114">
        <v>582</v>
      </c>
      <c r="B593" s="174" t="s">
        <v>1274</v>
      </c>
      <c r="C593" s="120" t="s">
        <v>804</v>
      </c>
      <c r="D593" s="88"/>
      <c r="E593" s="88"/>
      <c r="F593" s="120" t="s">
        <v>958</v>
      </c>
      <c r="G593" s="25" t="s">
        <v>145</v>
      </c>
      <c r="H593" s="85" t="s">
        <v>146</v>
      </c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116">
        <v>4062.02</v>
      </c>
      <c r="V593" s="120">
        <v>5042.34</v>
      </c>
      <c r="W593" s="120">
        <v>745.19</v>
      </c>
      <c r="X593" s="120" t="s">
        <v>207</v>
      </c>
      <c r="Y593" s="120">
        <v>541.76</v>
      </c>
      <c r="Z593" s="120" t="s">
        <v>207</v>
      </c>
      <c r="AA593" s="120">
        <v>727.09</v>
      </c>
      <c r="AB593" s="120" t="s">
        <v>207</v>
      </c>
      <c r="AC593" s="120">
        <v>441.4</v>
      </c>
      <c r="AD593" s="120" t="s">
        <v>207</v>
      </c>
      <c r="AE593" s="120">
        <v>193.58</v>
      </c>
      <c r="AF593" s="120" t="s">
        <v>207</v>
      </c>
      <c r="AG593" s="120">
        <v>78.59</v>
      </c>
      <c r="AH593" s="120" t="s">
        <v>207</v>
      </c>
      <c r="AI593" s="120">
        <v>74.67</v>
      </c>
      <c r="AJ593" s="118" t="s">
        <v>207</v>
      </c>
      <c r="AK593" s="120">
        <v>57.96</v>
      </c>
      <c r="AL593" s="118" t="s">
        <v>207</v>
      </c>
      <c r="AM593" s="120">
        <v>100.72</v>
      </c>
      <c r="AN593" s="118" t="s">
        <v>207</v>
      </c>
      <c r="AO593" s="120">
        <v>447.27</v>
      </c>
      <c r="AP593" s="120" t="s">
        <v>207</v>
      </c>
      <c r="AQ593" s="120">
        <v>457.58</v>
      </c>
      <c r="AR593" s="120" t="s">
        <v>207</v>
      </c>
      <c r="AS593" s="120">
        <v>596.27</v>
      </c>
      <c r="AT593" s="120" t="s">
        <v>207</v>
      </c>
      <c r="AU593" s="118">
        <f t="shared" si="30"/>
        <v>4462.08</v>
      </c>
      <c r="AV593" s="88"/>
      <c r="AW593" s="88"/>
      <c r="AX593" s="88"/>
      <c r="AY593" s="88"/>
      <c r="AZ593" s="88"/>
    </row>
    <row r="594" spans="1:52" s="90" customFormat="1" ht="15" customHeight="1" x14ac:dyDescent="0.3">
      <c r="A594" s="114">
        <v>583</v>
      </c>
      <c r="B594" s="174" t="s">
        <v>1275</v>
      </c>
      <c r="C594" s="120" t="s">
        <v>959</v>
      </c>
      <c r="D594" s="88"/>
      <c r="E594" s="88"/>
      <c r="F594" s="120" t="s">
        <v>958</v>
      </c>
      <c r="G594" s="25" t="s">
        <v>145</v>
      </c>
      <c r="H594" s="85" t="s">
        <v>146</v>
      </c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116"/>
      <c r="V594" s="120"/>
      <c r="W594" s="120"/>
      <c r="X594" s="120" t="s">
        <v>207</v>
      </c>
      <c r="Y594" s="120"/>
      <c r="Z594" s="120" t="s">
        <v>207</v>
      </c>
      <c r="AA594" s="120"/>
      <c r="AB594" s="120" t="s">
        <v>207</v>
      </c>
      <c r="AC594" s="120"/>
      <c r="AD594" s="120" t="s">
        <v>207</v>
      </c>
      <c r="AE594" s="120"/>
      <c r="AF594" s="120" t="s">
        <v>207</v>
      </c>
      <c r="AG594" s="120"/>
      <c r="AH594" s="120" t="s">
        <v>207</v>
      </c>
      <c r="AI594" s="120"/>
      <c r="AJ594" s="118" t="s">
        <v>207</v>
      </c>
      <c r="AK594" s="120"/>
      <c r="AL594" s="118" t="s">
        <v>207</v>
      </c>
      <c r="AM594" s="120"/>
      <c r="AN594" s="118" t="s">
        <v>207</v>
      </c>
      <c r="AO594" s="120"/>
      <c r="AP594" s="120" t="s">
        <v>207</v>
      </c>
      <c r="AQ594" s="120"/>
      <c r="AR594" s="120" t="s">
        <v>207</v>
      </c>
      <c r="AS594" s="120"/>
      <c r="AT594" s="120" t="s">
        <v>207</v>
      </c>
      <c r="AU594" s="118">
        <f t="shared" si="30"/>
        <v>0</v>
      </c>
      <c r="AV594" s="88"/>
      <c r="AW594" s="88"/>
      <c r="AX594" s="88"/>
      <c r="AY594" s="88"/>
      <c r="AZ594" s="88"/>
    </row>
    <row r="595" spans="1:52" s="90" customFormat="1" ht="15" customHeight="1" x14ac:dyDescent="0.3">
      <c r="A595" s="114">
        <v>584</v>
      </c>
      <c r="B595" s="174" t="s">
        <v>1276</v>
      </c>
      <c r="C595" s="120" t="s">
        <v>959</v>
      </c>
      <c r="D595" s="88"/>
      <c r="E595" s="88"/>
      <c r="F595" s="120" t="s">
        <v>958</v>
      </c>
      <c r="G595" s="25" t="s">
        <v>145</v>
      </c>
      <c r="H595" s="85" t="s">
        <v>146</v>
      </c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116">
        <v>455.5</v>
      </c>
      <c r="V595" s="120">
        <v>434.87</v>
      </c>
      <c r="W595" s="120">
        <v>81.92</v>
      </c>
      <c r="X595" s="120" t="s">
        <v>207</v>
      </c>
      <c r="Y595" s="120">
        <v>86.45</v>
      </c>
      <c r="Z595" s="120" t="s">
        <v>207</v>
      </c>
      <c r="AA595" s="120">
        <v>89.74</v>
      </c>
      <c r="AB595" s="120" t="s">
        <v>207</v>
      </c>
      <c r="AC595" s="120">
        <v>4.03</v>
      </c>
      <c r="AD595" s="120" t="s">
        <v>207</v>
      </c>
      <c r="AE595" s="120">
        <v>19.39</v>
      </c>
      <c r="AF595" s="120" t="s">
        <v>207</v>
      </c>
      <c r="AG595" s="120">
        <v>0</v>
      </c>
      <c r="AH595" s="120" t="s">
        <v>207</v>
      </c>
      <c r="AI595" s="120">
        <v>0</v>
      </c>
      <c r="AJ595" s="118" t="s">
        <v>207</v>
      </c>
      <c r="AK595" s="120">
        <v>0</v>
      </c>
      <c r="AL595" s="118" t="s">
        <v>207</v>
      </c>
      <c r="AM595" s="120">
        <v>1.28</v>
      </c>
      <c r="AN595" s="118" t="s">
        <v>207</v>
      </c>
      <c r="AO595" s="120">
        <v>33.200000000000003</v>
      </c>
      <c r="AP595" s="120" t="s">
        <v>207</v>
      </c>
      <c r="AQ595" s="120">
        <v>46.92</v>
      </c>
      <c r="AR595" s="120" t="s">
        <v>207</v>
      </c>
      <c r="AS595" s="120">
        <v>52.57</v>
      </c>
      <c r="AT595" s="120" t="s">
        <v>207</v>
      </c>
      <c r="AU595" s="118">
        <f t="shared" si="30"/>
        <v>415.49999999999994</v>
      </c>
      <c r="AV595" s="88"/>
      <c r="AW595" s="88"/>
      <c r="AX595" s="88"/>
      <c r="AY595" s="88"/>
      <c r="AZ595" s="88"/>
    </row>
    <row r="596" spans="1:52" s="90" customFormat="1" ht="15" customHeight="1" x14ac:dyDescent="0.3">
      <c r="A596" s="114">
        <v>585</v>
      </c>
      <c r="B596" s="174" t="s">
        <v>1277</v>
      </c>
      <c r="C596" s="120" t="s">
        <v>959</v>
      </c>
      <c r="D596" s="88"/>
      <c r="E596" s="88"/>
      <c r="F596" s="120" t="s">
        <v>958</v>
      </c>
      <c r="G596" s="25" t="s">
        <v>145</v>
      </c>
      <c r="H596" s="85" t="s">
        <v>146</v>
      </c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116">
        <v>27520.6</v>
      </c>
      <c r="V596" s="120">
        <v>422.65</v>
      </c>
      <c r="W596" s="120">
        <v>47.88</v>
      </c>
      <c r="X596" s="120" t="s">
        <v>207</v>
      </c>
      <c r="Y596" s="120">
        <v>54.81</v>
      </c>
      <c r="Z596" s="120" t="s">
        <v>207</v>
      </c>
      <c r="AA596" s="120">
        <v>49.33</v>
      </c>
      <c r="AB596" s="120" t="s">
        <v>207</v>
      </c>
      <c r="AC596" s="120">
        <v>41.98</v>
      </c>
      <c r="AD596" s="120" t="s">
        <v>207</v>
      </c>
      <c r="AE596" s="120">
        <v>24.54</v>
      </c>
      <c r="AF596" s="120" t="s">
        <v>207</v>
      </c>
      <c r="AG596" s="120">
        <v>10.25</v>
      </c>
      <c r="AH596" s="120" t="s">
        <v>207</v>
      </c>
      <c r="AI596" s="120">
        <v>8.82</v>
      </c>
      <c r="AJ596" s="118" t="s">
        <v>207</v>
      </c>
      <c r="AK596" s="120">
        <v>7.03</v>
      </c>
      <c r="AL596" s="118" t="s">
        <v>207</v>
      </c>
      <c r="AM596" s="120">
        <v>9.1300000000000008</v>
      </c>
      <c r="AN596" s="118" t="s">
        <v>207</v>
      </c>
      <c r="AO596" s="120">
        <v>30.85</v>
      </c>
      <c r="AP596" s="120" t="s">
        <v>207</v>
      </c>
      <c r="AQ596" s="120">
        <v>41.27</v>
      </c>
      <c r="AR596" s="120" t="s">
        <v>207</v>
      </c>
      <c r="AS596" s="120">
        <v>45.49</v>
      </c>
      <c r="AT596" s="120" t="s">
        <v>207</v>
      </c>
      <c r="AU596" s="118">
        <f t="shared" si="30"/>
        <v>371.37999999999994</v>
      </c>
      <c r="AV596" s="88"/>
      <c r="AW596" s="88"/>
      <c r="AX596" s="88"/>
      <c r="AY596" s="88"/>
      <c r="AZ596" s="88"/>
    </row>
    <row r="597" spans="1:52" s="90" customFormat="1" ht="15" customHeight="1" x14ac:dyDescent="0.3">
      <c r="A597" s="114">
        <v>586</v>
      </c>
      <c r="B597" s="174" t="s">
        <v>1278</v>
      </c>
      <c r="C597" s="120" t="s">
        <v>959</v>
      </c>
      <c r="D597" s="88"/>
      <c r="E597" s="88"/>
      <c r="F597" s="120" t="s">
        <v>958</v>
      </c>
      <c r="G597" s="25" t="s">
        <v>145</v>
      </c>
      <c r="H597" s="85" t="s">
        <v>146</v>
      </c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116">
        <v>1054.07</v>
      </c>
      <c r="V597" s="120">
        <v>1209.28</v>
      </c>
      <c r="W597" s="120">
        <v>142.4</v>
      </c>
      <c r="X597" s="120" t="s">
        <v>207</v>
      </c>
      <c r="Y597" s="120">
        <v>168</v>
      </c>
      <c r="Z597" s="120" t="s">
        <v>207</v>
      </c>
      <c r="AA597" s="120">
        <v>146.35</v>
      </c>
      <c r="AB597" s="120" t="s">
        <v>207</v>
      </c>
      <c r="AC597" s="120">
        <v>123.12</v>
      </c>
      <c r="AD597" s="120" t="s">
        <v>207</v>
      </c>
      <c r="AE597" s="120">
        <v>45.54</v>
      </c>
      <c r="AF597" s="120" t="s">
        <v>207</v>
      </c>
      <c r="AG597" s="120">
        <v>43.29</v>
      </c>
      <c r="AH597" s="120" t="s">
        <v>207</v>
      </c>
      <c r="AI597" s="120">
        <v>30</v>
      </c>
      <c r="AJ597" s="118" t="s">
        <v>207</v>
      </c>
      <c r="AK597" s="120">
        <v>30.18</v>
      </c>
      <c r="AL597" s="118" t="s">
        <v>207</v>
      </c>
      <c r="AM597" s="120">
        <v>41.63</v>
      </c>
      <c r="AN597" s="118" t="s">
        <v>207</v>
      </c>
      <c r="AO597" s="120">
        <v>91.22</v>
      </c>
      <c r="AP597" s="120" t="s">
        <v>207</v>
      </c>
      <c r="AQ597" s="120">
        <v>120.68</v>
      </c>
      <c r="AR597" s="120" t="s">
        <v>207</v>
      </c>
      <c r="AS597" s="120">
        <v>125.53</v>
      </c>
      <c r="AT597" s="120" t="s">
        <v>207</v>
      </c>
      <c r="AU597" s="118">
        <f t="shared" si="30"/>
        <v>1107.9399999999998</v>
      </c>
      <c r="AV597" s="88"/>
      <c r="AW597" s="88"/>
      <c r="AX597" s="88"/>
      <c r="AY597" s="88"/>
      <c r="AZ597" s="88"/>
    </row>
    <row r="598" spans="1:52" s="90" customFormat="1" ht="15" customHeight="1" x14ac:dyDescent="0.3">
      <c r="A598" s="114">
        <v>587</v>
      </c>
      <c r="B598" s="174" t="s">
        <v>1279</v>
      </c>
      <c r="C598" s="120" t="s">
        <v>959</v>
      </c>
      <c r="D598" s="88"/>
      <c r="E598" s="88"/>
      <c r="F598" s="120" t="s">
        <v>958</v>
      </c>
      <c r="G598" s="25" t="s">
        <v>145</v>
      </c>
      <c r="H598" s="85" t="s">
        <v>146</v>
      </c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116">
        <v>385.71</v>
      </c>
      <c r="V598" s="120">
        <v>454.97</v>
      </c>
      <c r="W598" s="120">
        <v>67.53</v>
      </c>
      <c r="X598" s="120" t="s">
        <v>207</v>
      </c>
      <c r="Y598" s="120">
        <v>87.28</v>
      </c>
      <c r="Z598" s="120" t="s">
        <v>207</v>
      </c>
      <c r="AA598" s="120">
        <v>59.2</v>
      </c>
      <c r="AB598" s="120" t="s">
        <v>207</v>
      </c>
      <c r="AC598" s="120">
        <v>36.61</v>
      </c>
      <c r="AD598" s="120" t="s">
        <v>207</v>
      </c>
      <c r="AE598" s="120">
        <v>11.48</v>
      </c>
      <c r="AF598" s="120" t="s">
        <v>207</v>
      </c>
      <c r="AG598" s="120">
        <v>0</v>
      </c>
      <c r="AH598" s="120" t="s">
        <v>207</v>
      </c>
      <c r="AI598" s="120">
        <v>0</v>
      </c>
      <c r="AJ598" s="118" t="s">
        <v>207</v>
      </c>
      <c r="AK598" s="120">
        <v>0</v>
      </c>
      <c r="AL598" s="118" t="s">
        <v>207</v>
      </c>
      <c r="AM598" s="120">
        <v>1.41</v>
      </c>
      <c r="AN598" s="118" t="s">
        <v>207</v>
      </c>
      <c r="AO598" s="120">
        <v>33.39</v>
      </c>
      <c r="AP598" s="120" t="s">
        <v>207</v>
      </c>
      <c r="AQ598" s="120">
        <v>39.81</v>
      </c>
      <c r="AR598" s="120" t="s">
        <v>207</v>
      </c>
      <c r="AS598" s="120">
        <v>49</v>
      </c>
      <c r="AT598" s="120" t="s">
        <v>207</v>
      </c>
      <c r="AU598" s="118">
        <f t="shared" si="30"/>
        <v>385.71000000000004</v>
      </c>
      <c r="AV598" s="88"/>
      <c r="AW598" s="88"/>
      <c r="AX598" s="88"/>
      <c r="AY598" s="88"/>
      <c r="AZ598" s="88"/>
    </row>
    <row r="599" spans="1:52" s="90" customFormat="1" ht="15" customHeight="1" x14ac:dyDescent="0.3">
      <c r="A599" s="114">
        <v>588</v>
      </c>
      <c r="B599" s="174" t="s">
        <v>1280</v>
      </c>
      <c r="C599" s="120" t="s">
        <v>959</v>
      </c>
      <c r="D599" s="88"/>
      <c r="E599" s="88"/>
      <c r="F599" s="120" t="s">
        <v>958</v>
      </c>
      <c r="G599" s="25" t="s">
        <v>145</v>
      </c>
      <c r="H599" s="85" t="s">
        <v>146</v>
      </c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116">
        <v>1249.81</v>
      </c>
      <c r="V599" s="120">
        <v>1260.0899999999999</v>
      </c>
      <c r="W599" s="120">
        <v>145.35</v>
      </c>
      <c r="X599" s="120" t="s">
        <v>207</v>
      </c>
      <c r="Y599" s="120">
        <v>174.61</v>
      </c>
      <c r="Z599" s="120" t="s">
        <v>207</v>
      </c>
      <c r="AA599" s="120">
        <v>155.72</v>
      </c>
      <c r="AB599" s="120" t="s">
        <v>207</v>
      </c>
      <c r="AC599" s="120">
        <v>127.61</v>
      </c>
      <c r="AD599" s="120" t="s">
        <v>207</v>
      </c>
      <c r="AE599" s="120">
        <v>81.38</v>
      </c>
      <c r="AF599" s="120" t="s">
        <v>207</v>
      </c>
      <c r="AG599" s="120">
        <v>50.62</v>
      </c>
      <c r="AH599" s="120" t="s">
        <v>207</v>
      </c>
      <c r="AI599" s="120">
        <v>36.31</v>
      </c>
      <c r="AJ599" s="118" t="s">
        <v>207</v>
      </c>
      <c r="AK599" s="120">
        <v>36.11</v>
      </c>
      <c r="AL599" s="118" t="s">
        <v>207</v>
      </c>
      <c r="AM599" s="120">
        <v>46.32</v>
      </c>
      <c r="AN599" s="118" t="s">
        <v>207</v>
      </c>
      <c r="AO599" s="120">
        <v>99.34</v>
      </c>
      <c r="AP599" s="120" t="s">
        <v>207</v>
      </c>
      <c r="AQ599" s="120">
        <v>126.53</v>
      </c>
      <c r="AR599" s="120" t="s">
        <v>207</v>
      </c>
      <c r="AS599" s="120">
        <v>137.04</v>
      </c>
      <c r="AT599" s="120" t="s">
        <v>207</v>
      </c>
      <c r="AU599" s="118">
        <f t="shared" si="30"/>
        <v>1216.9400000000003</v>
      </c>
      <c r="AV599" s="88"/>
      <c r="AW599" s="88"/>
      <c r="AX599" s="88"/>
      <c r="AY599" s="88"/>
      <c r="AZ599" s="88"/>
    </row>
    <row r="600" spans="1:52" s="90" customFormat="1" ht="15" customHeight="1" x14ac:dyDescent="0.3">
      <c r="A600" s="114">
        <v>589</v>
      </c>
      <c r="B600" s="174" t="s">
        <v>1281</v>
      </c>
      <c r="C600" s="120" t="s">
        <v>959</v>
      </c>
      <c r="D600" s="88"/>
      <c r="E600" s="88"/>
      <c r="F600" s="120" t="s">
        <v>958</v>
      </c>
      <c r="G600" s="25" t="s">
        <v>145</v>
      </c>
      <c r="H600" s="85" t="s">
        <v>146</v>
      </c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116">
        <v>472.94</v>
      </c>
      <c r="V600" s="120">
        <v>487.5</v>
      </c>
      <c r="W600" s="120">
        <v>61.19</v>
      </c>
      <c r="X600" s="120" t="s">
        <v>207</v>
      </c>
      <c r="Y600" s="120">
        <v>77.83</v>
      </c>
      <c r="Z600" s="120" t="s">
        <v>207</v>
      </c>
      <c r="AA600" s="120">
        <v>56.52</v>
      </c>
      <c r="AB600" s="120" t="s">
        <v>207</v>
      </c>
      <c r="AC600" s="120">
        <v>36.18</v>
      </c>
      <c r="AD600" s="120" t="s">
        <v>207</v>
      </c>
      <c r="AE600" s="120">
        <v>18.79</v>
      </c>
      <c r="AF600" s="120" t="s">
        <v>207</v>
      </c>
      <c r="AG600" s="120">
        <v>7.71</v>
      </c>
      <c r="AH600" s="120" t="s">
        <v>207</v>
      </c>
      <c r="AI600" s="120">
        <v>6.32</v>
      </c>
      <c r="AJ600" s="118" t="s">
        <v>207</v>
      </c>
      <c r="AK600" s="120">
        <v>6.97</v>
      </c>
      <c r="AL600" s="118" t="s">
        <v>207</v>
      </c>
      <c r="AM600" s="120">
        <v>6.28</v>
      </c>
      <c r="AN600" s="118" t="s">
        <v>207</v>
      </c>
      <c r="AO600" s="120">
        <v>35.9</v>
      </c>
      <c r="AP600" s="120" t="s">
        <v>207</v>
      </c>
      <c r="AQ600" s="120">
        <v>38.83</v>
      </c>
      <c r="AR600" s="120" t="s">
        <v>207</v>
      </c>
      <c r="AS600" s="120">
        <v>46.45</v>
      </c>
      <c r="AT600" s="120" t="s">
        <v>207</v>
      </c>
      <c r="AU600" s="118">
        <f t="shared" si="30"/>
        <v>398.96999999999991</v>
      </c>
      <c r="AV600" s="88"/>
      <c r="AW600" s="88"/>
      <c r="AX600" s="88"/>
      <c r="AY600" s="88"/>
      <c r="AZ600" s="88"/>
    </row>
    <row r="601" spans="1:52" s="90" customFormat="1" ht="15" customHeight="1" x14ac:dyDescent="0.3">
      <c r="A601" s="114">
        <v>590</v>
      </c>
      <c r="B601" s="174" t="s">
        <v>1282</v>
      </c>
      <c r="C601" s="120" t="s">
        <v>959</v>
      </c>
      <c r="D601" s="88"/>
      <c r="E601" s="88"/>
      <c r="F601" s="120" t="s">
        <v>958</v>
      </c>
      <c r="G601" s="25" t="s">
        <v>145</v>
      </c>
      <c r="H601" s="85" t="s">
        <v>146</v>
      </c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116">
        <v>107.46</v>
      </c>
      <c r="V601" s="120">
        <v>126.3</v>
      </c>
      <c r="W601" s="120">
        <v>18.55</v>
      </c>
      <c r="X601" s="120" t="s">
        <v>207</v>
      </c>
      <c r="Y601" s="120">
        <v>23.98</v>
      </c>
      <c r="Z601" s="120" t="s">
        <v>207</v>
      </c>
      <c r="AA601" s="120">
        <v>16.25</v>
      </c>
      <c r="AB601" s="120" t="s">
        <v>207</v>
      </c>
      <c r="AC601" s="120">
        <v>10.43</v>
      </c>
      <c r="AD601" s="120" t="s">
        <v>207</v>
      </c>
      <c r="AE601" s="120">
        <v>3.28</v>
      </c>
      <c r="AF601" s="120" t="s">
        <v>207</v>
      </c>
      <c r="AG601" s="120">
        <v>0</v>
      </c>
      <c r="AH601" s="120" t="s">
        <v>207</v>
      </c>
      <c r="AI601" s="120">
        <v>0</v>
      </c>
      <c r="AJ601" s="118" t="s">
        <v>207</v>
      </c>
      <c r="AK601" s="120">
        <v>0</v>
      </c>
      <c r="AL601" s="118" t="s">
        <v>207</v>
      </c>
      <c r="AM601" s="120">
        <v>0.41</v>
      </c>
      <c r="AN601" s="118" t="s">
        <v>207</v>
      </c>
      <c r="AO601" s="120">
        <v>9.4700000000000006</v>
      </c>
      <c r="AP601" s="120" t="s">
        <v>207</v>
      </c>
      <c r="AQ601" s="120">
        <v>11.29</v>
      </c>
      <c r="AR601" s="120" t="s">
        <v>207</v>
      </c>
      <c r="AS601" s="120">
        <v>13.8</v>
      </c>
      <c r="AT601" s="120" t="s">
        <v>207</v>
      </c>
      <c r="AU601" s="118">
        <f t="shared" si="30"/>
        <v>107.46</v>
      </c>
      <c r="AV601" s="88"/>
      <c r="AW601" s="88"/>
      <c r="AX601" s="88"/>
      <c r="AY601" s="88"/>
      <c r="AZ601" s="88"/>
    </row>
    <row r="602" spans="1:52" s="90" customFormat="1" ht="15" customHeight="1" x14ac:dyDescent="0.3">
      <c r="A602" s="114">
        <v>591</v>
      </c>
      <c r="B602" s="174" t="s">
        <v>1283</v>
      </c>
      <c r="C602" s="120" t="s">
        <v>959</v>
      </c>
      <c r="D602" s="88"/>
      <c r="E602" s="88"/>
      <c r="F602" s="120" t="s">
        <v>958</v>
      </c>
      <c r="G602" s="25" t="s">
        <v>145</v>
      </c>
      <c r="H602" s="85" t="s">
        <v>146</v>
      </c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116">
        <v>1300.1199999999999</v>
      </c>
      <c r="V602" s="120">
        <v>1349.31</v>
      </c>
      <c r="W602" s="120">
        <v>159.86000000000001</v>
      </c>
      <c r="X602" s="120" t="s">
        <v>207</v>
      </c>
      <c r="Y602" s="120">
        <v>192.92</v>
      </c>
      <c r="Z602" s="120" t="s">
        <v>207</v>
      </c>
      <c r="AA602" s="120">
        <v>149.26</v>
      </c>
      <c r="AB602" s="120" t="s">
        <v>207</v>
      </c>
      <c r="AC602" s="120">
        <v>61.34</v>
      </c>
      <c r="AD602" s="120" t="s">
        <v>207</v>
      </c>
      <c r="AE602" s="120">
        <v>85.16</v>
      </c>
      <c r="AF602" s="120" t="s">
        <v>207</v>
      </c>
      <c r="AG602" s="120">
        <v>59.29</v>
      </c>
      <c r="AH602" s="120" t="s">
        <v>207</v>
      </c>
      <c r="AI602" s="120">
        <v>38.17</v>
      </c>
      <c r="AJ602" s="118" t="s">
        <v>207</v>
      </c>
      <c r="AK602" s="120">
        <v>45.22</v>
      </c>
      <c r="AL602" s="118" t="s">
        <v>207</v>
      </c>
      <c r="AM602" s="120">
        <v>43.87</v>
      </c>
      <c r="AN602" s="118" t="s">
        <v>207</v>
      </c>
      <c r="AO602" s="120">
        <v>100.46</v>
      </c>
      <c r="AP602" s="120" t="s">
        <v>207</v>
      </c>
      <c r="AQ602" s="120">
        <v>137.02000000000001</v>
      </c>
      <c r="AR602" s="120" t="s">
        <v>207</v>
      </c>
      <c r="AS602" s="120">
        <v>155.53</v>
      </c>
      <c r="AT602" s="120" t="s">
        <v>207</v>
      </c>
      <c r="AU602" s="118">
        <f t="shared" si="30"/>
        <v>1228.0999999999999</v>
      </c>
      <c r="AV602" s="88"/>
      <c r="AW602" s="88"/>
      <c r="AX602" s="88"/>
      <c r="AY602" s="88"/>
      <c r="AZ602" s="88"/>
    </row>
    <row r="603" spans="1:52" s="90" customFormat="1" ht="15" customHeight="1" x14ac:dyDescent="0.3">
      <c r="A603" s="114">
        <v>592</v>
      </c>
      <c r="B603" s="174" t="s">
        <v>1284</v>
      </c>
      <c r="C603" s="120" t="s">
        <v>959</v>
      </c>
      <c r="D603" s="88"/>
      <c r="E603" s="88"/>
      <c r="F603" s="120" t="s">
        <v>958</v>
      </c>
      <c r="G603" s="25" t="s">
        <v>145</v>
      </c>
      <c r="H603" s="85" t="s">
        <v>146</v>
      </c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116">
        <v>123.54</v>
      </c>
      <c r="V603" s="120">
        <v>129.41999999999999</v>
      </c>
      <c r="W603" s="120">
        <v>23.23</v>
      </c>
      <c r="X603" s="120" t="s">
        <v>207</v>
      </c>
      <c r="Y603" s="120">
        <v>26.26</v>
      </c>
      <c r="Z603" s="120" t="s">
        <v>207</v>
      </c>
      <c r="AA603" s="120">
        <v>17.48</v>
      </c>
      <c r="AB603" s="120" t="s">
        <v>207</v>
      </c>
      <c r="AC603" s="120">
        <v>17.98</v>
      </c>
      <c r="AD603" s="120" t="s">
        <v>207</v>
      </c>
      <c r="AE603" s="120">
        <v>3.29</v>
      </c>
      <c r="AF603" s="120" t="s">
        <v>207</v>
      </c>
      <c r="AG603" s="120">
        <v>0</v>
      </c>
      <c r="AH603" s="120" t="s">
        <v>207</v>
      </c>
      <c r="AI603" s="120">
        <v>0</v>
      </c>
      <c r="AJ603" s="118" t="s">
        <v>207</v>
      </c>
      <c r="AK603" s="120">
        <v>0</v>
      </c>
      <c r="AL603" s="118" t="s">
        <v>207</v>
      </c>
      <c r="AM603" s="120">
        <v>1.18</v>
      </c>
      <c r="AN603" s="118" t="s">
        <v>207</v>
      </c>
      <c r="AO603" s="120">
        <v>8.85</v>
      </c>
      <c r="AP603" s="120" t="s">
        <v>207</v>
      </c>
      <c r="AQ603" s="120">
        <v>11.47</v>
      </c>
      <c r="AR603" s="120" t="s">
        <v>207</v>
      </c>
      <c r="AS603" s="120">
        <v>13.8</v>
      </c>
      <c r="AT603" s="120" t="s">
        <v>207</v>
      </c>
      <c r="AU603" s="118">
        <f t="shared" si="30"/>
        <v>123.54</v>
      </c>
      <c r="AV603" s="88"/>
      <c r="AW603" s="88"/>
      <c r="AX603" s="88"/>
      <c r="AY603" s="88"/>
      <c r="AZ603" s="88"/>
    </row>
    <row r="604" spans="1:52" s="90" customFormat="1" ht="15" customHeight="1" x14ac:dyDescent="0.3">
      <c r="A604" s="114">
        <v>593</v>
      </c>
      <c r="B604" s="174" t="s">
        <v>1285</v>
      </c>
      <c r="C604" s="120" t="s">
        <v>959</v>
      </c>
      <c r="D604" s="88"/>
      <c r="E604" s="88"/>
      <c r="F604" s="120" t="s">
        <v>958</v>
      </c>
      <c r="G604" s="25" t="s">
        <v>145</v>
      </c>
      <c r="H604" s="85" t="s">
        <v>146</v>
      </c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116">
        <v>1540.33</v>
      </c>
      <c r="V604" s="120">
        <v>1616.99</v>
      </c>
      <c r="W604" s="120">
        <v>198.59</v>
      </c>
      <c r="X604" s="120" t="s">
        <v>207</v>
      </c>
      <c r="Y604" s="120">
        <v>260.73</v>
      </c>
      <c r="Z604" s="120" t="s">
        <v>207</v>
      </c>
      <c r="AA604" s="120">
        <v>193.76</v>
      </c>
      <c r="AB604" s="120" t="s">
        <v>207</v>
      </c>
      <c r="AC604" s="120">
        <v>186.79</v>
      </c>
      <c r="AD604" s="120" t="s">
        <v>207</v>
      </c>
      <c r="AE604" s="120">
        <v>13.02</v>
      </c>
      <c r="AF604" s="120" t="s">
        <v>207</v>
      </c>
      <c r="AG604" s="120">
        <v>70.98</v>
      </c>
      <c r="AH604" s="120" t="s">
        <v>207</v>
      </c>
      <c r="AI604" s="120">
        <v>53.55</v>
      </c>
      <c r="AJ604" s="118" t="s">
        <v>207</v>
      </c>
      <c r="AK604" s="120">
        <v>56.97</v>
      </c>
      <c r="AL604" s="118" t="s">
        <v>207</v>
      </c>
      <c r="AM604" s="120">
        <v>74.959999999999994</v>
      </c>
      <c r="AN604" s="118" t="s">
        <v>207</v>
      </c>
      <c r="AO604" s="120">
        <v>148.91999999999999</v>
      </c>
      <c r="AP604" s="120" t="s">
        <v>207</v>
      </c>
      <c r="AQ604" s="120">
        <v>190.25</v>
      </c>
      <c r="AR604" s="120" t="s">
        <v>207</v>
      </c>
      <c r="AS604" s="120">
        <v>203.28</v>
      </c>
      <c r="AT604" s="120" t="s">
        <v>207</v>
      </c>
      <c r="AU604" s="118">
        <f t="shared" si="30"/>
        <v>1651.8</v>
      </c>
      <c r="AV604" s="88"/>
      <c r="AW604" s="88"/>
      <c r="AX604" s="88"/>
      <c r="AY604" s="88"/>
      <c r="AZ604" s="88"/>
    </row>
    <row r="605" spans="1:52" s="90" customFormat="1" ht="15" customHeight="1" x14ac:dyDescent="0.3">
      <c r="A605" s="114">
        <v>594</v>
      </c>
      <c r="B605" s="174" t="s">
        <v>1286</v>
      </c>
      <c r="C605" s="120" t="s">
        <v>959</v>
      </c>
      <c r="D605" s="88"/>
      <c r="E605" s="88"/>
      <c r="F605" s="120" t="s">
        <v>958</v>
      </c>
      <c r="G605" s="25" t="s">
        <v>145</v>
      </c>
      <c r="H605" s="85" t="s">
        <v>146</v>
      </c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116">
        <v>907.04</v>
      </c>
      <c r="V605" s="120">
        <v>973.42</v>
      </c>
      <c r="W605" s="120">
        <v>138.66999999999999</v>
      </c>
      <c r="X605" s="120" t="s">
        <v>207</v>
      </c>
      <c r="Y605" s="120">
        <v>115.91</v>
      </c>
      <c r="Z605" s="120" t="s">
        <v>207</v>
      </c>
      <c r="AA605" s="120">
        <v>117.62</v>
      </c>
      <c r="AB605" s="120" t="s">
        <v>207</v>
      </c>
      <c r="AC605" s="120">
        <v>94.36</v>
      </c>
      <c r="AD605" s="120" t="s">
        <v>207</v>
      </c>
      <c r="AE605" s="120">
        <v>55.34</v>
      </c>
      <c r="AF605" s="120" t="s">
        <v>207</v>
      </c>
      <c r="AG605" s="120">
        <v>33.94</v>
      </c>
      <c r="AH605" s="120" t="s">
        <v>207</v>
      </c>
      <c r="AI605" s="120">
        <v>2.52</v>
      </c>
      <c r="AJ605" s="118" t="s">
        <v>207</v>
      </c>
      <c r="AK605" s="120">
        <v>24.8</v>
      </c>
      <c r="AL605" s="118" t="s">
        <v>207</v>
      </c>
      <c r="AM605" s="120">
        <v>19.23</v>
      </c>
      <c r="AN605" s="118" t="s">
        <v>207</v>
      </c>
      <c r="AO605" s="120">
        <v>68.03</v>
      </c>
      <c r="AP605" s="120" t="s">
        <v>207</v>
      </c>
      <c r="AQ605" s="120">
        <v>88.55</v>
      </c>
      <c r="AR605" s="120" t="s">
        <v>207</v>
      </c>
      <c r="AS605" s="120">
        <v>98.16</v>
      </c>
      <c r="AT605" s="120" t="s">
        <v>207</v>
      </c>
      <c r="AU605" s="118">
        <f t="shared" si="30"/>
        <v>857.12999999999977</v>
      </c>
      <c r="AV605" s="88"/>
      <c r="AW605" s="88"/>
      <c r="AX605" s="88"/>
      <c r="AY605" s="88"/>
      <c r="AZ605" s="88"/>
    </row>
    <row r="606" spans="1:52" s="90" customFormat="1" ht="15" customHeight="1" x14ac:dyDescent="0.3">
      <c r="A606" s="114">
        <v>595</v>
      </c>
      <c r="B606" s="174" t="s">
        <v>1287</v>
      </c>
      <c r="C606" s="120" t="s">
        <v>959</v>
      </c>
      <c r="D606" s="88"/>
      <c r="E606" s="88"/>
      <c r="F606" s="120" t="s">
        <v>958</v>
      </c>
      <c r="G606" s="25" t="s">
        <v>145</v>
      </c>
      <c r="H606" s="85" t="s">
        <v>146</v>
      </c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116">
        <v>117.61</v>
      </c>
      <c r="V606" s="120">
        <v>144.22999999999999</v>
      </c>
      <c r="W606" s="120">
        <v>23.78</v>
      </c>
      <c r="X606" s="120" t="s">
        <v>207</v>
      </c>
      <c r="Y606" s="120">
        <v>21.29</v>
      </c>
      <c r="Z606" s="120" t="s">
        <v>207</v>
      </c>
      <c r="AA606" s="120">
        <v>17.989999999999998</v>
      </c>
      <c r="AB606" s="120" t="s">
        <v>207</v>
      </c>
      <c r="AC606" s="120">
        <v>14.5</v>
      </c>
      <c r="AD606" s="120" t="s">
        <v>207</v>
      </c>
      <c r="AE606" s="120">
        <v>0</v>
      </c>
      <c r="AF606" s="120" t="s">
        <v>207</v>
      </c>
      <c r="AG606" s="120">
        <v>0</v>
      </c>
      <c r="AH606" s="120" t="s">
        <v>207</v>
      </c>
      <c r="AI606" s="120">
        <v>0</v>
      </c>
      <c r="AJ606" s="118" t="s">
        <v>207</v>
      </c>
      <c r="AK606" s="120">
        <v>0</v>
      </c>
      <c r="AL606" s="118" t="s">
        <v>207</v>
      </c>
      <c r="AM606" s="120">
        <v>0.09</v>
      </c>
      <c r="AN606" s="118" t="s">
        <v>207</v>
      </c>
      <c r="AO606" s="120">
        <v>10.62</v>
      </c>
      <c r="AP606" s="120" t="s">
        <v>207</v>
      </c>
      <c r="AQ606" s="120">
        <v>13.41</v>
      </c>
      <c r="AR606" s="120" t="s">
        <v>207</v>
      </c>
      <c r="AS606" s="120">
        <v>15.93</v>
      </c>
      <c r="AT606" s="120" t="s">
        <v>207</v>
      </c>
      <c r="AU606" s="118">
        <f t="shared" si="30"/>
        <v>117.61000000000001</v>
      </c>
      <c r="AV606" s="88"/>
      <c r="AW606" s="88"/>
      <c r="AX606" s="88"/>
      <c r="AY606" s="88"/>
      <c r="AZ606" s="88"/>
    </row>
    <row r="607" spans="1:52" s="90" customFormat="1" ht="15" customHeight="1" x14ac:dyDescent="0.3">
      <c r="A607" s="114">
        <v>596</v>
      </c>
      <c r="B607" s="174" t="s">
        <v>1288</v>
      </c>
      <c r="C607" s="120" t="s">
        <v>959</v>
      </c>
      <c r="D607" s="88"/>
      <c r="E607" s="88"/>
      <c r="F607" s="120" t="s">
        <v>958</v>
      </c>
      <c r="G607" s="25" t="s">
        <v>145</v>
      </c>
      <c r="H607" s="85" t="s">
        <v>146</v>
      </c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116">
        <v>103.14</v>
      </c>
      <c r="V607" s="120">
        <v>119.05</v>
      </c>
      <c r="W607" s="120">
        <v>19.63</v>
      </c>
      <c r="X607" s="120" t="s">
        <v>207</v>
      </c>
      <c r="Y607" s="120">
        <v>17.57</v>
      </c>
      <c r="Z607" s="120" t="s">
        <v>207</v>
      </c>
      <c r="AA607" s="120">
        <v>14.85</v>
      </c>
      <c r="AB607" s="120" t="s">
        <v>207</v>
      </c>
      <c r="AC607" s="120">
        <v>14.53</v>
      </c>
      <c r="AD607" s="120" t="s">
        <v>207</v>
      </c>
      <c r="AE607" s="120">
        <v>0</v>
      </c>
      <c r="AF607" s="120" t="s">
        <v>207</v>
      </c>
      <c r="AG607" s="120">
        <v>0</v>
      </c>
      <c r="AH607" s="120" t="s">
        <v>207</v>
      </c>
      <c r="AI607" s="120">
        <v>0</v>
      </c>
      <c r="AJ607" s="118" t="s">
        <v>207</v>
      </c>
      <c r="AK607" s="120">
        <v>0</v>
      </c>
      <c r="AL607" s="118" t="s">
        <v>207</v>
      </c>
      <c r="AM607" s="120">
        <v>0.08</v>
      </c>
      <c r="AN607" s="118" t="s">
        <v>207</v>
      </c>
      <c r="AO607" s="120">
        <v>6.47</v>
      </c>
      <c r="AP607" s="120" t="s">
        <v>207</v>
      </c>
      <c r="AQ607" s="120">
        <v>13.64</v>
      </c>
      <c r="AR607" s="120" t="s">
        <v>207</v>
      </c>
      <c r="AS607" s="120">
        <v>16.37</v>
      </c>
      <c r="AT607" s="120" t="s">
        <v>207</v>
      </c>
      <c r="AU607" s="118">
        <f t="shared" si="30"/>
        <v>103.14</v>
      </c>
      <c r="AV607" s="88"/>
      <c r="AW607" s="88"/>
      <c r="AX607" s="88"/>
      <c r="AY607" s="88"/>
      <c r="AZ607" s="88"/>
    </row>
    <row r="608" spans="1:52" s="90" customFormat="1" ht="15" customHeight="1" x14ac:dyDescent="0.3">
      <c r="A608" s="114">
        <v>597</v>
      </c>
      <c r="B608" s="174" t="s">
        <v>1289</v>
      </c>
      <c r="C608" s="120" t="s">
        <v>959</v>
      </c>
      <c r="D608" s="88"/>
      <c r="E608" s="88"/>
      <c r="F608" s="120" t="s">
        <v>958</v>
      </c>
      <c r="G608" s="25" t="s">
        <v>145</v>
      </c>
      <c r="H608" s="85" t="s">
        <v>146</v>
      </c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116">
        <v>253.36</v>
      </c>
      <c r="V608" s="120">
        <v>287.23</v>
      </c>
      <c r="W608" s="120">
        <v>45.74</v>
      </c>
      <c r="X608" s="120" t="s">
        <v>207</v>
      </c>
      <c r="Y608" s="120">
        <v>50.83</v>
      </c>
      <c r="Z608" s="120" t="s">
        <v>207</v>
      </c>
      <c r="AA608" s="120">
        <v>36.590000000000003</v>
      </c>
      <c r="AB608" s="120" t="s">
        <v>207</v>
      </c>
      <c r="AC608" s="120">
        <v>45.57</v>
      </c>
      <c r="AD608" s="120" t="s">
        <v>207</v>
      </c>
      <c r="AE608" s="120">
        <v>16.420000000000002</v>
      </c>
      <c r="AF608" s="120" t="s">
        <v>207</v>
      </c>
      <c r="AG608" s="120">
        <v>11.58</v>
      </c>
      <c r="AH608" s="120" t="s">
        <v>207</v>
      </c>
      <c r="AI608" s="120">
        <v>9.43</v>
      </c>
      <c r="AJ608" s="118" t="s">
        <v>207</v>
      </c>
      <c r="AK608" s="120">
        <v>34.79</v>
      </c>
      <c r="AL608" s="118" t="s">
        <v>207</v>
      </c>
      <c r="AM608" s="120">
        <v>24.97</v>
      </c>
      <c r="AN608" s="118" t="s">
        <v>207</v>
      </c>
      <c r="AO608" s="120">
        <v>31.04</v>
      </c>
      <c r="AP608" s="120" t="s">
        <v>207</v>
      </c>
      <c r="AQ608" s="120">
        <v>35.99</v>
      </c>
      <c r="AR608" s="120" t="s">
        <v>207</v>
      </c>
      <c r="AS608" s="120"/>
      <c r="AT608" s="120" t="s">
        <v>207</v>
      </c>
      <c r="AU608" s="118">
        <f t="shared" si="30"/>
        <v>342.95</v>
      </c>
      <c r="AV608" s="88"/>
      <c r="AW608" s="88"/>
      <c r="AX608" s="88"/>
      <c r="AY608" s="88"/>
      <c r="AZ608" s="88"/>
    </row>
    <row r="609" spans="1:52" s="90" customFormat="1" ht="15" customHeight="1" x14ac:dyDescent="0.3">
      <c r="A609" s="114">
        <v>598</v>
      </c>
      <c r="B609" s="174" t="s">
        <v>1290</v>
      </c>
      <c r="C609" s="120" t="s">
        <v>959</v>
      </c>
      <c r="D609" s="88"/>
      <c r="E609" s="88"/>
      <c r="F609" s="120" t="s">
        <v>958</v>
      </c>
      <c r="G609" s="25" t="s">
        <v>145</v>
      </c>
      <c r="H609" s="85" t="s">
        <v>146</v>
      </c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116">
        <v>857.11</v>
      </c>
      <c r="V609" s="120">
        <v>925.22</v>
      </c>
      <c r="W609" s="120">
        <v>121.01</v>
      </c>
      <c r="X609" s="120" t="s">
        <v>207</v>
      </c>
      <c r="Y609" s="120">
        <v>130.51</v>
      </c>
      <c r="Z609" s="120" t="s">
        <v>207</v>
      </c>
      <c r="AA609" s="120">
        <v>116.17</v>
      </c>
      <c r="AB609" s="120" t="s">
        <v>207</v>
      </c>
      <c r="AC609" s="120">
        <v>98.63</v>
      </c>
      <c r="AD609" s="120" t="s">
        <v>207</v>
      </c>
      <c r="AE609" s="120">
        <v>62.58</v>
      </c>
      <c r="AF609" s="120" t="s">
        <v>207</v>
      </c>
      <c r="AG609" s="120">
        <v>26.07</v>
      </c>
      <c r="AH609" s="120" t="s">
        <v>207</v>
      </c>
      <c r="AI609" s="120">
        <v>15.48</v>
      </c>
      <c r="AJ609" s="118" t="s">
        <v>207</v>
      </c>
      <c r="AK609" s="120">
        <v>29.03</v>
      </c>
      <c r="AL609" s="118" t="s">
        <v>207</v>
      </c>
      <c r="AM609" s="120">
        <v>34.520000000000003</v>
      </c>
      <c r="AN609" s="118" t="s">
        <v>207</v>
      </c>
      <c r="AO609" s="120">
        <v>71.569999999999993</v>
      </c>
      <c r="AP609" s="120" t="s">
        <v>207</v>
      </c>
      <c r="AQ609" s="120">
        <v>95.5</v>
      </c>
      <c r="AR609" s="120" t="s">
        <v>207</v>
      </c>
      <c r="AS609" s="120">
        <v>102.92</v>
      </c>
      <c r="AT609" s="120" t="s">
        <v>207</v>
      </c>
      <c r="AU609" s="118">
        <f t="shared" si="30"/>
        <v>903.9899999999999</v>
      </c>
      <c r="AV609" s="88"/>
      <c r="AW609" s="88"/>
      <c r="AX609" s="88"/>
      <c r="AY609" s="88"/>
      <c r="AZ609" s="88"/>
    </row>
    <row r="610" spans="1:52" s="90" customFormat="1" ht="15" customHeight="1" x14ac:dyDescent="0.3">
      <c r="A610" s="114">
        <v>599</v>
      </c>
      <c r="B610" s="174" t="s">
        <v>1291</v>
      </c>
      <c r="C610" s="120" t="s">
        <v>959</v>
      </c>
      <c r="D610" s="88"/>
      <c r="E610" s="88"/>
      <c r="F610" s="120" t="s">
        <v>958</v>
      </c>
      <c r="G610" s="25" t="s">
        <v>145</v>
      </c>
      <c r="H610" s="85" t="s">
        <v>146</v>
      </c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116">
        <v>379.67</v>
      </c>
      <c r="V610" s="120">
        <v>444.72</v>
      </c>
      <c r="W610" s="120">
        <v>81.11</v>
      </c>
      <c r="X610" s="120" t="s">
        <v>207</v>
      </c>
      <c r="Y610" s="120">
        <v>67.260000000000005</v>
      </c>
      <c r="Z610" s="120" t="s">
        <v>207</v>
      </c>
      <c r="AA610" s="120">
        <v>61.03</v>
      </c>
      <c r="AB610" s="120" t="s">
        <v>207</v>
      </c>
      <c r="AC610" s="120">
        <v>37.01</v>
      </c>
      <c r="AD610" s="120" t="s">
        <v>207</v>
      </c>
      <c r="AE610" s="120">
        <v>11.49</v>
      </c>
      <c r="AF610" s="120" t="s">
        <v>207</v>
      </c>
      <c r="AG610" s="120">
        <v>0</v>
      </c>
      <c r="AH610" s="120" t="s">
        <v>207</v>
      </c>
      <c r="AI610" s="120">
        <v>0</v>
      </c>
      <c r="AJ610" s="118" t="s">
        <v>207</v>
      </c>
      <c r="AK610" s="120">
        <v>0</v>
      </c>
      <c r="AL610" s="118" t="s">
        <v>207</v>
      </c>
      <c r="AM610" s="120">
        <v>0</v>
      </c>
      <c r="AN610" s="118" t="s">
        <v>207</v>
      </c>
      <c r="AO610" s="120">
        <v>33.53</v>
      </c>
      <c r="AP610" s="120" t="s">
        <v>207</v>
      </c>
      <c r="AQ610" s="120">
        <v>40.049999999999997</v>
      </c>
      <c r="AR610" s="120" t="s">
        <v>207</v>
      </c>
      <c r="AS610" s="120">
        <v>48.19</v>
      </c>
      <c r="AT610" s="120" t="s">
        <v>207</v>
      </c>
      <c r="AU610" s="118">
        <f t="shared" si="30"/>
        <v>379.66999999999996</v>
      </c>
      <c r="AV610" s="88"/>
      <c r="AW610" s="88"/>
      <c r="AX610" s="88"/>
      <c r="AY610" s="88"/>
      <c r="AZ610" s="88"/>
    </row>
    <row r="611" spans="1:52" s="90" customFormat="1" ht="15" customHeight="1" x14ac:dyDescent="0.3">
      <c r="A611" s="114">
        <v>600</v>
      </c>
      <c r="B611" s="174" t="s">
        <v>1292</v>
      </c>
      <c r="C611" s="120" t="s">
        <v>959</v>
      </c>
      <c r="D611" s="88"/>
      <c r="E611" s="88"/>
      <c r="F611" s="120" t="s">
        <v>958</v>
      </c>
      <c r="G611" s="25" t="s">
        <v>145</v>
      </c>
      <c r="H611" s="85" t="s">
        <v>146</v>
      </c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116">
        <v>897.52</v>
      </c>
      <c r="V611" s="120">
        <v>915.52</v>
      </c>
      <c r="W611" s="120">
        <v>115.4</v>
      </c>
      <c r="X611" s="120" t="s">
        <v>207</v>
      </c>
      <c r="Y611" s="120">
        <v>93.47</v>
      </c>
      <c r="Z611" s="120" t="s">
        <v>207</v>
      </c>
      <c r="AA611" s="120">
        <v>110</v>
      </c>
      <c r="AB611" s="120" t="s">
        <v>207</v>
      </c>
      <c r="AC611" s="120">
        <v>98.42</v>
      </c>
      <c r="AD611" s="120" t="s">
        <v>207</v>
      </c>
      <c r="AE611" s="120">
        <v>49.93</v>
      </c>
      <c r="AF611" s="120" t="s">
        <v>207</v>
      </c>
      <c r="AG611" s="120">
        <v>17.8</v>
      </c>
      <c r="AH611" s="120" t="s">
        <v>207</v>
      </c>
      <c r="AI611" s="120">
        <v>12.42</v>
      </c>
      <c r="AJ611" s="118" t="s">
        <v>207</v>
      </c>
      <c r="AK611" s="120">
        <v>13.91</v>
      </c>
      <c r="AL611" s="118" t="s">
        <v>207</v>
      </c>
      <c r="AM611" s="120">
        <v>21.98</v>
      </c>
      <c r="AN611" s="118" t="s">
        <v>207</v>
      </c>
      <c r="AO611" s="120">
        <v>63.46</v>
      </c>
      <c r="AP611" s="120" t="s">
        <v>207</v>
      </c>
      <c r="AQ611" s="120">
        <v>87.19</v>
      </c>
      <c r="AR611" s="120" t="s">
        <v>207</v>
      </c>
      <c r="AS611" s="120">
        <v>90.5</v>
      </c>
      <c r="AT611" s="120" t="s">
        <v>207</v>
      </c>
      <c r="AU611" s="118">
        <f t="shared" si="30"/>
        <v>774.48</v>
      </c>
      <c r="AV611" s="88"/>
      <c r="AW611" s="88"/>
      <c r="AX611" s="88"/>
      <c r="AY611" s="88"/>
      <c r="AZ611" s="88"/>
    </row>
    <row r="612" spans="1:52" s="90" customFormat="1" ht="15" customHeight="1" x14ac:dyDescent="0.3">
      <c r="A612" s="114">
        <v>601</v>
      </c>
      <c r="B612" s="174" t="s">
        <v>1293</v>
      </c>
      <c r="C612" s="120" t="s">
        <v>959</v>
      </c>
      <c r="D612" s="88"/>
      <c r="E612" s="88"/>
      <c r="F612" s="120" t="s">
        <v>958</v>
      </c>
      <c r="G612" s="25" t="s">
        <v>145</v>
      </c>
      <c r="H612" s="85" t="s">
        <v>146</v>
      </c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116">
        <v>346.59</v>
      </c>
      <c r="V612" s="120">
        <v>379.59</v>
      </c>
      <c r="W612" s="120">
        <v>72.959999999999994</v>
      </c>
      <c r="X612" s="120" t="s">
        <v>207</v>
      </c>
      <c r="Y612" s="120">
        <v>51.86</v>
      </c>
      <c r="Z612" s="120" t="s">
        <v>207</v>
      </c>
      <c r="AA612" s="120">
        <v>51.86</v>
      </c>
      <c r="AB612" s="120" t="s">
        <v>207</v>
      </c>
      <c r="AC612" s="120">
        <v>39.770000000000003</v>
      </c>
      <c r="AD612" s="120" t="s">
        <v>207</v>
      </c>
      <c r="AE612" s="120">
        <v>17.5</v>
      </c>
      <c r="AF612" s="120" t="s">
        <v>207</v>
      </c>
      <c r="AG612" s="120">
        <v>0</v>
      </c>
      <c r="AH612" s="120" t="s">
        <v>207</v>
      </c>
      <c r="AI612" s="120">
        <v>0</v>
      </c>
      <c r="AJ612" s="118" t="s">
        <v>207</v>
      </c>
      <c r="AK612" s="120">
        <v>0</v>
      </c>
      <c r="AL612" s="118" t="s">
        <v>207</v>
      </c>
      <c r="AM612" s="120">
        <v>0.82</v>
      </c>
      <c r="AN612" s="118" t="s">
        <v>207</v>
      </c>
      <c r="AO612" s="120">
        <v>26.75</v>
      </c>
      <c r="AP612" s="120" t="s">
        <v>207</v>
      </c>
      <c r="AQ612" s="120">
        <v>38.229999999999997</v>
      </c>
      <c r="AR612" s="120" t="s">
        <v>207</v>
      </c>
      <c r="AS612" s="120">
        <v>46.84</v>
      </c>
      <c r="AT612" s="120" t="s">
        <v>207</v>
      </c>
      <c r="AU612" s="118">
        <f t="shared" si="30"/>
        <v>346.59000000000003</v>
      </c>
      <c r="AV612" s="88"/>
      <c r="AW612" s="88"/>
      <c r="AX612" s="88"/>
      <c r="AY612" s="88"/>
      <c r="AZ612" s="88"/>
    </row>
    <row r="613" spans="1:52" s="90" customFormat="1" ht="15" customHeight="1" x14ac:dyDescent="0.3">
      <c r="A613" s="114">
        <v>602</v>
      </c>
      <c r="B613" s="174" t="s">
        <v>1294</v>
      </c>
      <c r="C613" s="120" t="s">
        <v>959</v>
      </c>
      <c r="D613" s="88"/>
      <c r="E613" s="88"/>
      <c r="F613" s="120" t="s">
        <v>958</v>
      </c>
      <c r="G613" s="25" t="s">
        <v>145</v>
      </c>
      <c r="H613" s="85" t="s">
        <v>146</v>
      </c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116"/>
      <c r="V613" s="120">
        <v>449.86</v>
      </c>
      <c r="W613" s="120"/>
      <c r="X613" s="120" t="s">
        <v>207</v>
      </c>
      <c r="Y613" s="120"/>
      <c r="Z613" s="120" t="s">
        <v>207</v>
      </c>
      <c r="AA613" s="120"/>
      <c r="AB613" s="120" t="s">
        <v>207</v>
      </c>
      <c r="AC613" s="120"/>
      <c r="AD613" s="120" t="s">
        <v>207</v>
      </c>
      <c r="AE613" s="120"/>
      <c r="AF613" s="120" t="s">
        <v>207</v>
      </c>
      <c r="AG613" s="120"/>
      <c r="AH613" s="120" t="s">
        <v>207</v>
      </c>
      <c r="AI613" s="120"/>
      <c r="AJ613" s="118" t="s">
        <v>207</v>
      </c>
      <c r="AK613" s="120"/>
      <c r="AL613" s="118" t="s">
        <v>207</v>
      </c>
      <c r="AM613" s="120"/>
      <c r="AN613" s="118" t="s">
        <v>207</v>
      </c>
      <c r="AO613" s="120"/>
      <c r="AP613" s="120" t="s">
        <v>207</v>
      </c>
      <c r="AQ613" s="120"/>
      <c r="AR613" s="120" t="s">
        <v>207</v>
      </c>
      <c r="AS613" s="120"/>
      <c r="AT613" s="120" t="s">
        <v>207</v>
      </c>
      <c r="AU613" s="118">
        <f t="shared" si="30"/>
        <v>0</v>
      </c>
      <c r="AV613" s="88"/>
      <c r="AW613" s="88"/>
      <c r="AX613" s="88"/>
      <c r="AY613" s="88"/>
      <c r="AZ613" s="88"/>
    </row>
    <row r="614" spans="1:52" s="90" customFormat="1" ht="15" customHeight="1" x14ac:dyDescent="0.3">
      <c r="A614" s="114">
        <v>603</v>
      </c>
      <c r="B614" s="174" t="s">
        <v>1295</v>
      </c>
      <c r="C614" s="120" t="s">
        <v>959</v>
      </c>
      <c r="D614" s="88"/>
      <c r="E614" s="88"/>
      <c r="F614" s="120" t="s">
        <v>958</v>
      </c>
      <c r="G614" s="25" t="s">
        <v>145</v>
      </c>
      <c r="H614" s="85" t="s">
        <v>146</v>
      </c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116">
        <v>341.01</v>
      </c>
      <c r="V614" s="120">
        <v>378.03</v>
      </c>
      <c r="W614" s="120">
        <v>57.81</v>
      </c>
      <c r="X614" s="120" t="s">
        <v>207</v>
      </c>
      <c r="Y614" s="120">
        <v>60.08</v>
      </c>
      <c r="Z614" s="120" t="s">
        <v>207</v>
      </c>
      <c r="AA614" s="120">
        <v>56.6</v>
      </c>
      <c r="AB614" s="120" t="s">
        <v>207</v>
      </c>
      <c r="AC614" s="120">
        <v>41.14</v>
      </c>
      <c r="AD614" s="120" t="s">
        <v>207</v>
      </c>
      <c r="AE614" s="120">
        <v>16.62</v>
      </c>
      <c r="AF614" s="120" t="s">
        <v>207</v>
      </c>
      <c r="AG614" s="120">
        <v>0</v>
      </c>
      <c r="AH614" s="120" t="s">
        <v>207</v>
      </c>
      <c r="AI614" s="120">
        <v>0</v>
      </c>
      <c r="AJ614" s="118" t="s">
        <v>207</v>
      </c>
      <c r="AK614" s="120">
        <v>0</v>
      </c>
      <c r="AL614" s="118" t="s">
        <v>207</v>
      </c>
      <c r="AM614" s="120">
        <v>1.1200000000000001</v>
      </c>
      <c r="AN614" s="118" t="s">
        <v>207</v>
      </c>
      <c r="AO614" s="120">
        <v>27.05</v>
      </c>
      <c r="AP614" s="120" t="s">
        <v>207</v>
      </c>
      <c r="AQ614" s="120">
        <v>38.15</v>
      </c>
      <c r="AR614" s="120" t="s">
        <v>207</v>
      </c>
      <c r="AS614" s="120">
        <v>42.44</v>
      </c>
      <c r="AT614" s="120" t="s">
        <v>207</v>
      </c>
      <c r="AU614" s="118">
        <f t="shared" si="30"/>
        <v>341.01</v>
      </c>
      <c r="AV614" s="88"/>
      <c r="AW614" s="88"/>
      <c r="AX614" s="88"/>
      <c r="AY614" s="88"/>
      <c r="AZ614" s="88"/>
    </row>
    <row r="615" spans="1:52" s="90" customFormat="1" ht="15" customHeight="1" x14ac:dyDescent="0.3">
      <c r="A615" s="114">
        <v>604</v>
      </c>
      <c r="B615" s="174" t="s">
        <v>1296</v>
      </c>
      <c r="C615" s="120" t="s">
        <v>959</v>
      </c>
      <c r="D615" s="88"/>
      <c r="E615" s="88"/>
      <c r="F615" s="120" t="s">
        <v>958</v>
      </c>
      <c r="G615" s="25" t="s">
        <v>145</v>
      </c>
      <c r="H615" s="85" t="s">
        <v>146</v>
      </c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116">
        <v>806.54</v>
      </c>
      <c r="V615" s="120">
        <v>976.13</v>
      </c>
      <c r="W615" s="120">
        <v>125.02</v>
      </c>
      <c r="X615" s="120" t="s">
        <v>207</v>
      </c>
      <c r="Y615" s="120">
        <v>144.61000000000001</v>
      </c>
      <c r="Z615" s="120" t="s">
        <v>207</v>
      </c>
      <c r="AA615" s="120">
        <v>111.18</v>
      </c>
      <c r="AB615" s="120" t="s">
        <v>207</v>
      </c>
      <c r="AC615" s="120">
        <v>104.25</v>
      </c>
      <c r="AD615" s="120" t="s">
        <v>207</v>
      </c>
      <c r="AE615" s="120">
        <v>67.69</v>
      </c>
      <c r="AF615" s="120" t="s">
        <v>207</v>
      </c>
      <c r="AG615" s="120">
        <v>36.340000000000003</v>
      </c>
      <c r="AH615" s="120" t="s">
        <v>207</v>
      </c>
      <c r="AI615" s="120">
        <v>13.78</v>
      </c>
      <c r="AJ615" s="118" t="s">
        <v>207</v>
      </c>
      <c r="AK615" s="120">
        <v>13.73</v>
      </c>
      <c r="AL615" s="118" t="s">
        <v>207</v>
      </c>
      <c r="AM615" s="120">
        <v>22.04</v>
      </c>
      <c r="AN615" s="118" t="s">
        <v>207</v>
      </c>
      <c r="AO615" s="120">
        <v>69.55</v>
      </c>
      <c r="AP615" s="120" t="s">
        <v>207</v>
      </c>
      <c r="AQ615" s="120">
        <v>75.62</v>
      </c>
      <c r="AR615" s="120" t="s">
        <v>207</v>
      </c>
      <c r="AS615" s="120">
        <v>87.83</v>
      </c>
      <c r="AT615" s="120" t="s">
        <v>207</v>
      </c>
      <c r="AU615" s="118">
        <f t="shared" si="30"/>
        <v>871.64</v>
      </c>
      <c r="AV615" s="88"/>
      <c r="AW615" s="88"/>
      <c r="AX615" s="88"/>
      <c r="AY615" s="88"/>
      <c r="AZ615" s="88"/>
    </row>
    <row r="616" spans="1:52" s="90" customFormat="1" ht="15" customHeight="1" x14ac:dyDescent="0.3">
      <c r="A616" s="114">
        <v>605</v>
      </c>
      <c r="B616" s="174" t="s">
        <v>1297</v>
      </c>
      <c r="C616" s="120" t="s">
        <v>959</v>
      </c>
      <c r="D616" s="88"/>
      <c r="E616" s="88"/>
      <c r="F616" s="120" t="s">
        <v>958</v>
      </c>
      <c r="G616" s="25" t="s">
        <v>145</v>
      </c>
      <c r="H616" s="85" t="s">
        <v>146</v>
      </c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116">
        <v>452.62</v>
      </c>
      <c r="V616" s="120">
        <v>488.78</v>
      </c>
      <c r="W616" s="120">
        <v>75.290000000000006</v>
      </c>
      <c r="X616" s="120" t="s">
        <v>207</v>
      </c>
      <c r="Y616" s="120">
        <v>61.52</v>
      </c>
      <c r="Z616" s="120" t="s">
        <v>207</v>
      </c>
      <c r="AA616" s="120">
        <v>65.319999999999993</v>
      </c>
      <c r="AB616" s="120" t="s">
        <v>207</v>
      </c>
      <c r="AC616" s="120">
        <v>59.05</v>
      </c>
      <c r="AD616" s="120" t="s">
        <v>207</v>
      </c>
      <c r="AE616" s="120">
        <v>22.55</v>
      </c>
      <c r="AF616" s="120" t="s">
        <v>207</v>
      </c>
      <c r="AG616" s="120">
        <v>0</v>
      </c>
      <c r="AH616" s="120" t="s">
        <v>207</v>
      </c>
      <c r="AI616" s="120">
        <v>0</v>
      </c>
      <c r="AJ616" s="118" t="s">
        <v>207</v>
      </c>
      <c r="AK616" s="120">
        <v>19.03</v>
      </c>
      <c r="AL616" s="118" t="s">
        <v>207</v>
      </c>
      <c r="AM616" s="120">
        <v>3.38</v>
      </c>
      <c r="AN616" s="118" t="s">
        <v>207</v>
      </c>
      <c r="AO616" s="120">
        <v>34.9</v>
      </c>
      <c r="AP616" s="120" t="s">
        <v>207</v>
      </c>
      <c r="AQ616" s="120">
        <v>53.58</v>
      </c>
      <c r="AR616" s="120" t="s">
        <v>207</v>
      </c>
      <c r="AS616" s="120">
        <v>58</v>
      </c>
      <c r="AT616" s="120" t="s">
        <v>207</v>
      </c>
      <c r="AU616" s="118">
        <f t="shared" si="30"/>
        <v>452.61999999999995</v>
      </c>
      <c r="AV616" s="88"/>
      <c r="AW616" s="88"/>
      <c r="AX616" s="88"/>
      <c r="AY616" s="88"/>
      <c r="AZ616" s="88"/>
    </row>
    <row r="617" spans="1:52" s="90" customFormat="1" ht="15" customHeight="1" x14ac:dyDescent="0.3">
      <c r="A617" s="114">
        <v>606</v>
      </c>
      <c r="B617" s="174" t="s">
        <v>1298</v>
      </c>
      <c r="C617" s="120" t="s">
        <v>959</v>
      </c>
      <c r="D617" s="88"/>
      <c r="E617" s="88"/>
      <c r="F617" s="120" t="s">
        <v>958</v>
      </c>
      <c r="G617" s="25" t="s">
        <v>145</v>
      </c>
      <c r="H617" s="85" t="s">
        <v>146</v>
      </c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116">
        <v>398.82</v>
      </c>
      <c r="V617" s="120">
        <v>444.25</v>
      </c>
      <c r="W617" s="120">
        <v>81.790000000000006</v>
      </c>
      <c r="X617" s="120" t="s">
        <v>207</v>
      </c>
      <c r="Y617" s="120">
        <v>62.95</v>
      </c>
      <c r="Z617" s="120" t="s">
        <v>207</v>
      </c>
      <c r="AA617" s="120">
        <v>61.78</v>
      </c>
      <c r="AB617" s="120" t="s">
        <v>207</v>
      </c>
      <c r="AC617" s="120">
        <v>44.62</v>
      </c>
      <c r="AD617" s="120" t="s">
        <v>207</v>
      </c>
      <c r="AE617" s="120">
        <v>17.13</v>
      </c>
      <c r="AF617" s="120" t="s">
        <v>207</v>
      </c>
      <c r="AG617" s="120">
        <v>0</v>
      </c>
      <c r="AH617" s="120" t="s">
        <v>207</v>
      </c>
      <c r="AI617" s="120">
        <v>0</v>
      </c>
      <c r="AJ617" s="118" t="s">
        <v>207</v>
      </c>
      <c r="AK617" s="120">
        <v>0</v>
      </c>
      <c r="AL617" s="118" t="s">
        <v>207</v>
      </c>
      <c r="AM617" s="120">
        <v>4.3899999999999997</v>
      </c>
      <c r="AN617" s="118" t="s">
        <v>207</v>
      </c>
      <c r="AO617" s="120">
        <v>37.56</v>
      </c>
      <c r="AP617" s="120" t="s">
        <v>207</v>
      </c>
      <c r="AQ617" s="120">
        <v>39.83</v>
      </c>
      <c r="AR617" s="120" t="s">
        <v>207</v>
      </c>
      <c r="AS617" s="120">
        <v>48.77</v>
      </c>
      <c r="AT617" s="120" t="s">
        <v>207</v>
      </c>
      <c r="AU617" s="118">
        <f t="shared" si="30"/>
        <v>398.82</v>
      </c>
      <c r="AV617" s="88"/>
      <c r="AW617" s="88"/>
      <c r="AX617" s="88"/>
      <c r="AY617" s="88"/>
      <c r="AZ617" s="88"/>
    </row>
    <row r="618" spans="1:52" s="90" customFormat="1" ht="15" customHeight="1" x14ac:dyDescent="0.3">
      <c r="A618" s="114">
        <v>607</v>
      </c>
      <c r="B618" s="174" t="s">
        <v>1299</v>
      </c>
      <c r="C618" s="120" t="s">
        <v>959</v>
      </c>
      <c r="D618" s="88"/>
      <c r="E618" s="88"/>
      <c r="F618" s="120" t="s">
        <v>958</v>
      </c>
      <c r="G618" s="25" t="s">
        <v>145</v>
      </c>
      <c r="H618" s="85" t="s">
        <v>146</v>
      </c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116">
        <v>174.92</v>
      </c>
      <c r="V618" s="120">
        <v>195.39</v>
      </c>
      <c r="W618" s="120">
        <v>39.840000000000003</v>
      </c>
      <c r="X618" s="120" t="s">
        <v>207</v>
      </c>
      <c r="Y618" s="120">
        <v>30.41</v>
      </c>
      <c r="Z618" s="120" t="s">
        <v>207</v>
      </c>
      <c r="AA618" s="120">
        <v>27.47</v>
      </c>
      <c r="AB618" s="120" t="s">
        <v>207</v>
      </c>
      <c r="AC618" s="120">
        <v>17.29</v>
      </c>
      <c r="AD618" s="120" t="s">
        <v>207</v>
      </c>
      <c r="AE618" s="120">
        <v>5.07</v>
      </c>
      <c r="AF618" s="120" t="s">
        <v>207</v>
      </c>
      <c r="AG618" s="120">
        <v>0</v>
      </c>
      <c r="AH618" s="120" t="s">
        <v>207</v>
      </c>
      <c r="AI618" s="120">
        <v>0</v>
      </c>
      <c r="AJ618" s="118" t="s">
        <v>207</v>
      </c>
      <c r="AK618" s="120">
        <v>0</v>
      </c>
      <c r="AL618" s="118" t="s">
        <v>207</v>
      </c>
      <c r="AM618" s="120">
        <v>0.42</v>
      </c>
      <c r="AN618" s="118" t="s">
        <v>207</v>
      </c>
      <c r="AO618" s="120">
        <v>14.04</v>
      </c>
      <c r="AP618" s="120" t="s">
        <v>207</v>
      </c>
      <c r="AQ618" s="120">
        <v>19.12</v>
      </c>
      <c r="AR618" s="120" t="s">
        <v>207</v>
      </c>
      <c r="AS618" s="120">
        <v>21.26</v>
      </c>
      <c r="AT618" s="120" t="s">
        <v>207</v>
      </c>
      <c r="AU618" s="118">
        <f t="shared" si="30"/>
        <v>174.92</v>
      </c>
      <c r="AV618" s="88"/>
      <c r="AW618" s="88"/>
      <c r="AX618" s="88"/>
      <c r="AY618" s="88"/>
      <c r="AZ618" s="88"/>
    </row>
    <row r="619" spans="1:52" s="90" customFormat="1" ht="15" customHeight="1" x14ac:dyDescent="0.3">
      <c r="A619" s="114">
        <v>608</v>
      </c>
      <c r="B619" s="174" t="s">
        <v>1300</v>
      </c>
      <c r="C619" s="120" t="s">
        <v>959</v>
      </c>
      <c r="D619" s="88"/>
      <c r="E619" s="88"/>
      <c r="F619" s="120" t="s">
        <v>958</v>
      </c>
      <c r="G619" s="25" t="s">
        <v>145</v>
      </c>
      <c r="H619" s="85" t="s">
        <v>146</v>
      </c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116">
        <v>200.75</v>
      </c>
      <c r="V619" s="120">
        <v>230.93</v>
      </c>
      <c r="W619" s="120">
        <v>47.08</v>
      </c>
      <c r="X619" s="120" t="s">
        <v>207</v>
      </c>
      <c r="Y619" s="120">
        <v>35.93</v>
      </c>
      <c r="Z619" s="120" t="s">
        <v>207</v>
      </c>
      <c r="AA619" s="120">
        <v>32.46</v>
      </c>
      <c r="AB619" s="120" t="s">
        <v>207</v>
      </c>
      <c r="AC619" s="120">
        <v>20.45</v>
      </c>
      <c r="AD619" s="120" t="s">
        <v>207</v>
      </c>
      <c r="AE619" s="120">
        <v>0</v>
      </c>
      <c r="AF619" s="120" t="s">
        <v>207</v>
      </c>
      <c r="AG619" s="120">
        <v>0</v>
      </c>
      <c r="AH619" s="120" t="s">
        <v>207</v>
      </c>
      <c r="AI619" s="120">
        <v>0</v>
      </c>
      <c r="AJ619" s="118" t="s">
        <v>207</v>
      </c>
      <c r="AK619" s="120">
        <v>0</v>
      </c>
      <c r="AL619" s="118" t="s">
        <v>207</v>
      </c>
      <c r="AM619" s="120">
        <v>0.5</v>
      </c>
      <c r="AN619" s="118" t="s">
        <v>207</v>
      </c>
      <c r="AO619" s="120">
        <v>16.59</v>
      </c>
      <c r="AP619" s="120" t="s">
        <v>207</v>
      </c>
      <c r="AQ619" s="120">
        <v>22.6</v>
      </c>
      <c r="AR619" s="120" t="s">
        <v>207</v>
      </c>
      <c r="AS619" s="120">
        <v>25.14</v>
      </c>
      <c r="AT619" s="120" t="s">
        <v>207</v>
      </c>
      <c r="AU619" s="118">
        <f t="shared" si="30"/>
        <v>200.75</v>
      </c>
      <c r="AV619" s="88"/>
      <c r="AW619" s="88"/>
      <c r="AX619" s="88"/>
      <c r="AY619" s="88"/>
      <c r="AZ619" s="88"/>
    </row>
    <row r="620" spans="1:52" s="90" customFormat="1" ht="15" customHeight="1" x14ac:dyDescent="0.3">
      <c r="A620" s="114">
        <v>609</v>
      </c>
      <c r="B620" s="174" t="s">
        <v>1301</v>
      </c>
      <c r="C620" s="120" t="s">
        <v>959</v>
      </c>
      <c r="D620" s="88"/>
      <c r="E620" s="88"/>
      <c r="F620" s="120" t="s">
        <v>958</v>
      </c>
      <c r="G620" s="25" t="s">
        <v>145</v>
      </c>
      <c r="H620" s="85" t="s">
        <v>146</v>
      </c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116">
        <v>235.22</v>
      </c>
      <c r="V620" s="120">
        <v>239.22</v>
      </c>
      <c r="W620" s="120">
        <v>48.36</v>
      </c>
      <c r="X620" s="120" t="s">
        <v>207</v>
      </c>
      <c r="Y620" s="120">
        <v>37.21</v>
      </c>
      <c r="Z620" s="120" t="s">
        <v>207</v>
      </c>
      <c r="AA620" s="120">
        <v>35.869999999999997</v>
      </c>
      <c r="AB620" s="120" t="s">
        <v>207</v>
      </c>
      <c r="AC620" s="120">
        <v>28.74</v>
      </c>
      <c r="AD620" s="120" t="s">
        <v>207</v>
      </c>
      <c r="AE620" s="120">
        <v>11.12</v>
      </c>
      <c r="AF620" s="120" t="s">
        <v>207</v>
      </c>
      <c r="AG620" s="120">
        <v>0</v>
      </c>
      <c r="AH620" s="120" t="s">
        <v>207</v>
      </c>
      <c r="AI620" s="120">
        <v>0</v>
      </c>
      <c r="AJ620" s="118" t="s">
        <v>207</v>
      </c>
      <c r="AK620" s="120">
        <v>0</v>
      </c>
      <c r="AL620" s="118" t="s">
        <v>207</v>
      </c>
      <c r="AM620" s="120">
        <v>2.75</v>
      </c>
      <c r="AN620" s="118" t="s">
        <v>207</v>
      </c>
      <c r="AO620" s="120">
        <v>16.010000000000002</v>
      </c>
      <c r="AP620" s="120" t="s">
        <v>207</v>
      </c>
      <c r="AQ620" s="120">
        <v>25.76</v>
      </c>
      <c r="AR620" s="120" t="s">
        <v>207</v>
      </c>
      <c r="AS620" s="120">
        <v>29.4</v>
      </c>
      <c r="AT620" s="120" t="s">
        <v>207</v>
      </c>
      <c r="AU620" s="118">
        <f t="shared" si="30"/>
        <v>235.22</v>
      </c>
      <c r="AV620" s="88"/>
      <c r="AW620" s="88"/>
      <c r="AX620" s="88"/>
      <c r="AY620" s="88"/>
      <c r="AZ620" s="88"/>
    </row>
    <row r="621" spans="1:52" s="90" customFormat="1" ht="15" customHeight="1" x14ac:dyDescent="0.3">
      <c r="A621" s="114">
        <v>610</v>
      </c>
      <c r="B621" s="174" t="s">
        <v>1302</v>
      </c>
      <c r="C621" s="120" t="s">
        <v>959</v>
      </c>
      <c r="D621" s="88"/>
      <c r="E621" s="88"/>
      <c r="F621" s="120" t="s">
        <v>958</v>
      </c>
      <c r="G621" s="25" t="s">
        <v>145</v>
      </c>
      <c r="H621" s="85" t="s">
        <v>146</v>
      </c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116">
        <v>251.54</v>
      </c>
      <c r="V621" s="120">
        <v>319.39</v>
      </c>
      <c r="W621" s="120">
        <v>52.6</v>
      </c>
      <c r="X621" s="120" t="s">
        <v>207</v>
      </c>
      <c r="Y621" s="120">
        <v>40.159999999999997</v>
      </c>
      <c r="Z621" s="120" t="s">
        <v>207</v>
      </c>
      <c r="AA621" s="120">
        <v>51.88</v>
      </c>
      <c r="AB621" s="120" t="s">
        <v>207</v>
      </c>
      <c r="AC621" s="120">
        <v>22.81</v>
      </c>
      <c r="AD621" s="120" t="s">
        <v>207</v>
      </c>
      <c r="AE621" s="120">
        <v>8.36</v>
      </c>
      <c r="AF621" s="120" t="s">
        <v>207</v>
      </c>
      <c r="AG621" s="120">
        <v>0</v>
      </c>
      <c r="AH621" s="120" t="s">
        <v>207</v>
      </c>
      <c r="AI621" s="120">
        <v>0</v>
      </c>
      <c r="AJ621" s="118" t="s">
        <v>207</v>
      </c>
      <c r="AK621" s="120">
        <v>0</v>
      </c>
      <c r="AL621" s="118" t="s">
        <v>207</v>
      </c>
      <c r="AM621" s="120">
        <v>0.46</v>
      </c>
      <c r="AN621" s="118" t="s">
        <v>207</v>
      </c>
      <c r="AO621" s="120">
        <v>6.21</v>
      </c>
      <c r="AP621" s="120" t="s">
        <v>207</v>
      </c>
      <c r="AQ621" s="120">
        <v>41.03</v>
      </c>
      <c r="AR621" s="120" t="s">
        <v>207</v>
      </c>
      <c r="AS621" s="120">
        <v>28.03</v>
      </c>
      <c r="AT621" s="120" t="s">
        <v>207</v>
      </c>
      <c r="AU621" s="118">
        <f t="shared" si="30"/>
        <v>251.54000000000002</v>
      </c>
      <c r="AV621" s="88"/>
      <c r="AW621" s="88"/>
      <c r="AX621" s="88"/>
      <c r="AY621" s="88"/>
      <c r="AZ621" s="88"/>
    </row>
    <row r="622" spans="1:52" s="90" customFormat="1" ht="15" customHeight="1" x14ac:dyDescent="0.3">
      <c r="A622" s="114">
        <v>611</v>
      </c>
      <c r="B622" s="174" t="s">
        <v>1303</v>
      </c>
      <c r="C622" s="120" t="s">
        <v>959</v>
      </c>
      <c r="D622" s="88"/>
      <c r="E622" s="88"/>
      <c r="F622" s="120" t="s">
        <v>958</v>
      </c>
      <c r="G622" s="25" t="s">
        <v>145</v>
      </c>
      <c r="H622" s="85" t="s">
        <v>146</v>
      </c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116">
        <v>528.29999999999995</v>
      </c>
      <c r="V622" s="120">
        <v>645.71</v>
      </c>
      <c r="W622" s="120">
        <v>113.96</v>
      </c>
      <c r="X622" s="120" t="s">
        <v>207</v>
      </c>
      <c r="Y622" s="120">
        <v>97.71</v>
      </c>
      <c r="Z622" s="120" t="s">
        <v>207</v>
      </c>
      <c r="AA622" s="120">
        <v>87.78</v>
      </c>
      <c r="AB622" s="120" t="s">
        <v>207</v>
      </c>
      <c r="AC622" s="120">
        <v>47.08</v>
      </c>
      <c r="AD622" s="120" t="s">
        <v>207</v>
      </c>
      <c r="AE622" s="120">
        <v>19.920000000000002</v>
      </c>
      <c r="AF622" s="120" t="s">
        <v>207</v>
      </c>
      <c r="AG622" s="120">
        <v>0</v>
      </c>
      <c r="AH622" s="120" t="s">
        <v>207</v>
      </c>
      <c r="AI622" s="120">
        <v>0</v>
      </c>
      <c r="AJ622" s="118" t="s">
        <v>207</v>
      </c>
      <c r="AK622" s="120">
        <v>0</v>
      </c>
      <c r="AL622" s="118" t="s">
        <v>207</v>
      </c>
      <c r="AM622" s="120">
        <v>0.45</v>
      </c>
      <c r="AN622" s="118" t="s">
        <v>207</v>
      </c>
      <c r="AO622" s="120">
        <v>28.95</v>
      </c>
      <c r="AP622" s="120" t="s">
        <v>207</v>
      </c>
      <c r="AQ622" s="120">
        <v>69.900000000000006</v>
      </c>
      <c r="AR622" s="120" t="s">
        <v>207</v>
      </c>
      <c r="AS622" s="120">
        <v>72.55</v>
      </c>
      <c r="AT622" s="120" t="s">
        <v>207</v>
      </c>
      <c r="AU622" s="118">
        <f t="shared" si="30"/>
        <v>538.29999999999995</v>
      </c>
      <c r="AV622" s="88"/>
      <c r="AW622" s="88"/>
      <c r="AX622" s="88"/>
      <c r="AY622" s="88"/>
      <c r="AZ622" s="88"/>
    </row>
    <row r="623" spans="1:52" s="90" customFormat="1" ht="15" customHeight="1" x14ac:dyDescent="0.3">
      <c r="A623" s="114">
        <v>612</v>
      </c>
      <c r="B623" s="174" t="s">
        <v>1304</v>
      </c>
      <c r="C623" s="120" t="s">
        <v>959</v>
      </c>
      <c r="D623" s="88"/>
      <c r="E623" s="88"/>
      <c r="F623" s="120" t="s">
        <v>958</v>
      </c>
      <c r="G623" s="25" t="s">
        <v>145</v>
      </c>
      <c r="H623" s="85" t="s">
        <v>146</v>
      </c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116">
        <v>179.1</v>
      </c>
      <c r="V623" s="120">
        <v>193.48</v>
      </c>
      <c r="W623" s="120">
        <v>42.69</v>
      </c>
      <c r="X623" s="120" t="s">
        <v>207</v>
      </c>
      <c r="Y623" s="120">
        <v>32.86</v>
      </c>
      <c r="Z623" s="120" t="s">
        <v>207</v>
      </c>
      <c r="AA623" s="120">
        <v>29.53</v>
      </c>
      <c r="AB623" s="120" t="s">
        <v>207</v>
      </c>
      <c r="AC623" s="120">
        <v>17.600000000000001</v>
      </c>
      <c r="AD623" s="120" t="s">
        <v>207</v>
      </c>
      <c r="AE623" s="120">
        <v>5.61</v>
      </c>
      <c r="AF623" s="120" t="s">
        <v>207</v>
      </c>
      <c r="AG623" s="120">
        <v>0</v>
      </c>
      <c r="AH623" s="120" t="s">
        <v>207</v>
      </c>
      <c r="AI623" s="120">
        <v>0</v>
      </c>
      <c r="AJ623" s="118" t="s">
        <v>207</v>
      </c>
      <c r="AK623" s="120">
        <v>0</v>
      </c>
      <c r="AL623" s="118" t="s">
        <v>207</v>
      </c>
      <c r="AM623" s="120">
        <v>2.42</v>
      </c>
      <c r="AN623" s="118" t="s">
        <v>207</v>
      </c>
      <c r="AO623" s="120">
        <v>16.34</v>
      </c>
      <c r="AP623" s="120" t="s">
        <v>207</v>
      </c>
      <c r="AQ623" s="120">
        <v>18.690000000000001</v>
      </c>
      <c r="AR623" s="120" t="s">
        <v>207</v>
      </c>
      <c r="AS623" s="120">
        <v>13.36</v>
      </c>
      <c r="AT623" s="120" t="s">
        <v>207</v>
      </c>
      <c r="AU623" s="118">
        <f t="shared" si="30"/>
        <v>179.10000000000002</v>
      </c>
      <c r="AV623" s="88"/>
      <c r="AW623" s="88"/>
      <c r="AX623" s="88"/>
      <c r="AY623" s="88"/>
      <c r="AZ623" s="88"/>
    </row>
    <row r="624" spans="1:52" s="90" customFormat="1" ht="15" customHeight="1" x14ac:dyDescent="0.3">
      <c r="A624" s="114">
        <v>613</v>
      </c>
      <c r="B624" s="174" t="s">
        <v>1305</v>
      </c>
      <c r="C624" s="120" t="s">
        <v>959</v>
      </c>
      <c r="D624" s="88"/>
      <c r="E624" s="88"/>
      <c r="F624" s="120" t="s">
        <v>958</v>
      </c>
      <c r="G624" s="25" t="s">
        <v>145</v>
      </c>
      <c r="H624" s="85" t="s">
        <v>146</v>
      </c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116">
        <v>337.45</v>
      </c>
      <c r="V624" s="120">
        <v>335.86</v>
      </c>
      <c r="W624" s="120">
        <v>70.28</v>
      </c>
      <c r="X624" s="120" t="s">
        <v>207</v>
      </c>
      <c r="Y624" s="120">
        <v>54.08</v>
      </c>
      <c r="Z624" s="120" t="s">
        <v>207</v>
      </c>
      <c r="AA624" s="120">
        <v>48.58</v>
      </c>
      <c r="AB624" s="120" t="s">
        <v>207</v>
      </c>
      <c r="AC624" s="120">
        <v>37.28</v>
      </c>
      <c r="AD624" s="120" t="s">
        <v>207</v>
      </c>
      <c r="AE624" s="120">
        <v>12.67</v>
      </c>
      <c r="AF624" s="120" t="s">
        <v>207</v>
      </c>
      <c r="AG624" s="120">
        <v>0</v>
      </c>
      <c r="AH624" s="120" t="s">
        <v>207</v>
      </c>
      <c r="AI624" s="120">
        <v>0</v>
      </c>
      <c r="AJ624" s="118" t="s">
        <v>207</v>
      </c>
      <c r="AK624" s="120">
        <v>0</v>
      </c>
      <c r="AL624" s="118" t="s">
        <v>207</v>
      </c>
      <c r="AM624" s="120">
        <v>6.51</v>
      </c>
      <c r="AN624" s="118" t="s">
        <v>207</v>
      </c>
      <c r="AO624" s="120">
        <v>34.28</v>
      </c>
      <c r="AP624" s="120" t="s">
        <v>207</v>
      </c>
      <c r="AQ624" s="120">
        <v>39.82</v>
      </c>
      <c r="AR624" s="120" t="s">
        <v>207</v>
      </c>
      <c r="AS624" s="120">
        <v>33.950000000000003</v>
      </c>
      <c r="AT624" s="120" t="s">
        <v>207</v>
      </c>
      <c r="AU624" s="118">
        <f t="shared" si="30"/>
        <v>337.44999999999993</v>
      </c>
      <c r="AV624" s="88"/>
      <c r="AW624" s="88"/>
      <c r="AX624" s="88"/>
      <c r="AY624" s="88"/>
      <c r="AZ624" s="88"/>
    </row>
    <row r="625" spans="1:52" s="90" customFormat="1" ht="15" customHeight="1" x14ac:dyDescent="0.3">
      <c r="A625" s="114">
        <v>614</v>
      </c>
      <c r="B625" s="174" t="s">
        <v>1306</v>
      </c>
      <c r="C625" s="120" t="s">
        <v>959</v>
      </c>
      <c r="D625" s="88"/>
      <c r="E625" s="88"/>
      <c r="F625" s="120" t="s">
        <v>958</v>
      </c>
      <c r="G625" s="25" t="s">
        <v>145</v>
      </c>
      <c r="H625" s="85" t="s">
        <v>146</v>
      </c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116">
        <v>308.12</v>
      </c>
      <c r="V625" s="120">
        <v>353.19</v>
      </c>
      <c r="W625" s="120">
        <v>33.53</v>
      </c>
      <c r="X625" s="120" t="s">
        <v>207</v>
      </c>
      <c r="Y625" s="120">
        <v>26.3</v>
      </c>
      <c r="Z625" s="120" t="s">
        <v>207</v>
      </c>
      <c r="AA625" s="120">
        <v>24.4</v>
      </c>
      <c r="AB625" s="120" t="s">
        <v>207</v>
      </c>
      <c r="AC625" s="120">
        <v>15.98</v>
      </c>
      <c r="AD625" s="120" t="s">
        <v>207</v>
      </c>
      <c r="AE625" s="120">
        <v>8.8800000000000008</v>
      </c>
      <c r="AF625" s="120" t="s">
        <v>207</v>
      </c>
      <c r="AG625" s="120">
        <v>4.6100000000000003</v>
      </c>
      <c r="AH625" s="120" t="s">
        <v>207</v>
      </c>
      <c r="AI625" s="120">
        <v>4.04</v>
      </c>
      <c r="AJ625" s="118" t="s">
        <v>207</v>
      </c>
      <c r="AK625" s="120">
        <v>3.21</v>
      </c>
      <c r="AL625" s="118" t="s">
        <v>207</v>
      </c>
      <c r="AM625" s="120">
        <v>4.71</v>
      </c>
      <c r="AN625" s="118" t="s">
        <v>207</v>
      </c>
      <c r="AO625" s="120">
        <v>17.12</v>
      </c>
      <c r="AP625" s="120" t="s">
        <v>207</v>
      </c>
      <c r="AQ625" s="120">
        <v>17.86</v>
      </c>
      <c r="AR625" s="120" t="s">
        <v>207</v>
      </c>
      <c r="AS625" s="120">
        <v>19.02</v>
      </c>
      <c r="AT625" s="120" t="s">
        <v>207</v>
      </c>
      <c r="AU625" s="118">
        <f t="shared" si="30"/>
        <v>179.66</v>
      </c>
      <c r="AV625" s="88"/>
      <c r="AW625" s="88"/>
      <c r="AX625" s="88"/>
      <c r="AY625" s="88"/>
      <c r="AZ625" s="88"/>
    </row>
    <row r="626" spans="1:52" s="90" customFormat="1" ht="15" customHeight="1" x14ac:dyDescent="0.3">
      <c r="A626" s="114">
        <v>615</v>
      </c>
      <c r="B626" s="174" t="s">
        <v>1307</v>
      </c>
      <c r="C626" s="120" t="s">
        <v>959</v>
      </c>
      <c r="D626" s="88"/>
      <c r="E626" s="88"/>
      <c r="F626" s="120" t="s">
        <v>958</v>
      </c>
      <c r="G626" s="25" t="s">
        <v>145</v>
      </c>
      <c r="H626" s="85" t="s">
        <v>146</v>
      </c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116">
        <v>261.07</v>
      </c>
      <c r="V626" s="120">
        <v>268.24</v>
      </c>
      <c r="W626" s="120">
        <v>57.65</v>
      </c>
      <c r="X626" s="120" t="s">
        <v>207</v>
      </c>
      <c r="Y626" s="120">
        <v>44.45</v>
      </c>
      <c r="Z626" s="120" t="s">
        <v>207</v>
      </c>
      <c r="AA626" s="120">
        <v>39.979999999999997</v>
      </c>
      <c r="AB626" s="120" t="s">
        <v>207</v>
      </c>
      <c r="AC626" s="120">
        <v>24</v>
      </c>
      <c r="AD626" s="120" t="s">
        <v>207</v>
      </c>
      <c r="AE626" s="120">
        <v>7.68</v>
      </c>
      <c r="AF626" s="120" t="s">
        <v>207</v>
      </c>
      <c r="AG626" s="120">
        <v>0</v>
      </c>
      <c r="AH626" s="120" t="s">
        <v>207</v>
      </c>
      <c r="AI626" s="120">
        <v>0</v>
      </c>
      <c r="AJ626" s="118" t="s">
        <v>207</v>
      </c>
      <c r="AK626" s="120">
        <v>0</v>
      </c>
      <c r="AL626" s="118" t="s">
        <v>207</v>
      </c>
      <c r="AM626" s="120">
        <v>3.38</v>
      </c>
      <c r="AN626" s="118" t="s">
        <v>207</v>
      </c>
      <c r="AO626" s="120">
        <v>22.28</v>
      </c>
      <c r="AP626" s="120" t="s">
        <v>207</v>
      </c>
      <c r="AQ626" s="120">
        <v>30.14</v>
      </c>
      <c r="AR626" s="120" t="s">
        <v>207</v>
      </c>
      <c r="AS626" s="120">
        <v>31.51</v>
      </c>
      <c r="AT626" s="120" t="s">
        <v>207</v>
      </c>
      <c r="AU626" s="118">
        <f t="shared" si="30"/>
        <v>261.07</v>
      </c>
      <c r="AV626" s="88"/>
      <c r="AW626" s="88"/>
      <c r="AX626" s="88"/>
      <c r="AY626" s="88"/>
      <c r="AZ626" s="88"/>
    </row>
    <row r="627" spans="1:52" s="90" customFormat="1" ht="15" customHeight="1" x14ac:dyDescent="0.3">
      <c r="A627" s="114">
        <v>616</v>
      </c>
      <c r="B627" s="174" t="s">
        <v>1308</v>
      </c>
      <c r="C627" s="120" t="s">
        <v>959</v>
      </c>
      <c r="D627" s="88"/>
      <c r="E627" s="88"/>
      <c r="F627" s="120" t="s">
        <v>958</v>
      </c>
      <c r="G627" s="25" t="s">
        <v>145</v>
      </c>
      <c r="H627" s="85" t="s">
        <v>146</v>
      </c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116">
        <v>199.61</v>
      </c>
      <c r="V627" s="120">
        <v>199.92</v>
      </c>
      <c r="W627" s="120">
        <v>43.93</v>
      </c>
      <c r="X627" s="120" t="s">
        <v>207</v>
      </c>
      <c r="Y627" s="120">
        <v>33.799999999999997</v>
      </c>
      <c r="Z627" s="120" t="s">
        <v>207</v>
      </c>
      <c r="AA627" s="120">
        <v>30.36</v>
      </c>
      <c r="AB627" s="120" t="s">
        <v>207</v>
      </c>
      <c r="AC627" s="120">
        <v>18.46</v>
      </c>
      <c r="AD627" s="120" t="s">
        <v>207</v>
      </c>
      <c r="AE627" s="120">
        <v>5.92</v>
      </c>
      <c r="AF627" s="120" t="s">
        <v>207</v>
      </c>
      <c r="AG627" s="120">
        <v>0</v>
      </c>
      <c r="AH627" s="120" t="s">
        <v>207</v>
      </c>
      <c r="AI627" s="120">
        <v>0</v>
      </c>
      <c r="AJ627" s="118" t="s">
        <v>207</v>
      </c>
      <c r="AK627" s="120">
        <v>0</v>
      </c>
      <c r="AL627" s="118" t="s">
        <v>207</v>
      </c>
      <c r="AM627" s="120">
        <v>2.6</v>
      </c>
      <c r="AN627" s="118" t="s">
        <v>207</v>
      </c>
      <c r="AO627" s="120">
        <v>17.13</v>
      </c>
      <c r="AP627" s="120" t="s">
        <v>207</v>
      </c>
      <c r="AQ627" s="120">
        <v>23.17</v>
      </c>
      <c r="AR627" s="120" t="s">
        <v>207</v>
      </c>
      <c r="AS627" s="120">
        <v>24.24</v>
      </c>
      <c r="AT627" s="120" t="s">
        <v>207</v>
      </c>
      <c r="AU627" s="118">
        <f t="shared" si="30"/>
        <v>199.60999999999996</v>
      </c>
      <c r="AV627" s="88"/>
      <c r="AW627" s="88"/>
      <c r="AX627" s="88"/>
      <c r="AY627" s="88"/>
      <c r="AZ627" s="88"/>
    </row>
    <row r="628" spans="1:52" s="90" customFormat="1" ht="15" customHeight="1" x14ac:dyDescent="0.3">
      <c r="A628" s="114">
        <v>617</v>
      </c>
      <c r="B628" s="174" t="s">
        <v>1309</v>
      </c>
      <c r="C628" s="120" t="s">
        <v>959</v>
      </c>
      <c r="D628" s="88"/>
      <c r="E628" s="88"/>
      <c r="F628" s="120" t="s">
        <v>958</v>
      </c>
      <c r="G628" s="25" t="s">
        <v>145</v>
      </c>
      <c r="H628" s="85" t="s">
        <v>146</v>
      </c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116">
        <v>195.72</v>
      </c>
      <c r="V628" s="120">
        <v>223.45</v>
      </c>
      <c r="W628" s="120">
        <v>43.93</v>
      </c>
      <c r="X628" s="120" t="s">
        <v>207</v>
      </c>
      <c r="Y628" s="120">
        <v>33.799999999999997</v>
      </c>
      <c r="Z628" s="120" t="s">
        <v>207</v>
      </c>
      <c r="AA628" s="120">
        <v>30.36</v>
      </c>
      <c r="AB628" s="120" t="s">
        <v>207</v>
      </c>
      <c r="AC628" s="120">
        <v>18.16</v>
      </c>
      <c r="AD628" s="120" t="s">
        <v>207</v>
      </c>
      <c r="AE628" s="120">
        <v>5.79</v>
      </c>
      <c r="AF628" s="120" t="s">
        <v>207</v>
      </c>
      <c r="AG628" s="120">
        <v>0</v>
      </c>
      <c r="AH628" s="120" t="s">
        <v>207</v>
      </c>
      <c r="AI628" s="120">
        <v>0</v>
      </c>
      <c r="AJ628" s="118" t="s">
        <v>207</v>
      </c>
      <c r="AK628" s="120">
        <v>0</v>
      </c>
      <c r="AL628" s="118" t="s">
        <v>207</v>
      </c>
      <c r="AM628" s="120">
        <v>2.5099999999999998</v>
      </c>
      <c r="AN628" s="118" t="s">
        <v>207</v>
      </c>
      <c r="AO628" s="120">
        <v>16.850000000000001</v>
      </c>
      <c r="AP628" s="120" t="s">
        <v>207</v>
      </c>
      <c r="AQ628" s="120">
        <v>20.11</v>
      </c>
      <c r="AR628" s="120" t="s">
        <v>207</v>
      </c>
      <c r="AS628" s="120">
        <v>24.21</v>
      </c>
      <c r="AT628" s="120" t="s">
        <v>207</v>
      </c>
      <c r="AU628" s="118">
        <f t="shared" si="30"/>
        <v>195.72</v>
      </c>
      <c r="AV628" s="88"/>
      <c r="AW628" s="88"/>
      <c r="AX628" s="88"/>
      <c r="AY628" s="88"/>
      <c r="AZ628" s="88"/>
    </row>
    <row r="629" spans="1:52" s="90" customFormat="1" ht="15" customHeight="1" x14ac:dyDescent="0.3">
      <c r="A629" s="114">
        <v>618</v>
      </c>
      <c r="B629" s="174" t="s">
        <v>1310</v>
      </c>
      <c r="C629" s="120" t="s">
        <v>959</v>
      </c>
      <c r="D629" s="88"/>
      <c r="E629" s="88"/>
      <c r="F629" s="120" t="s">
        <v>958</v>
      </c>
      <c r="G629" s="25" t="s">
        <v>145</v>
      </c>
      <c r="H629" s="85" t="s">
        <v>146</v>
      </c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116">
        <v>743.93</v>
      </c>
      <c r="V629" s="120">
        <v>941.34</v>
      </c>
      <c r="W629" s="120">
        <v>123.29</v>
      </c>
      <c r="X629" s="120" t="s">
        <v>207</v>
      </c>
      <c r="Y629" s="120">
        <v>151.6</v>
      </c>
      <c r="Z629" s="120" t="s">
        <v>207</v>
      </c>
      <c r="AA629" s="120">
        <v>113.3</v>
      </c>
      <c r="AB629" s="120" t="s">
        <v>207</v>
      </c>
      <c r="AC629" s="120">
        <v>93.88</v>
      </c>
      <c r="AD629" s="120" t="s">
        <v>207</v>
      </c>
      <c r="AE629" s="120">
        <v>19.899999999999999</v>
      </c>
      <c r="AF629" s="120" t="s">
        <v>207</v>
      </c>
      <c r="AG629" s="120">
        <v>29.19</v>
      </c>
      <c r="AH629" s="120" t="s">
        <v>207</v>
      </c>
      <c r="AI629" s="120">
        <v>22.98</v>
      </c>
      <c r="AJ629" s="118" t="s">
        <v>207</v>
      </c>
      <c r="AK629" s="120">
        <v>24.27</v>
      </c>
      <c r="AL629" s="118" t="s">
        <v>207</v>
      </c>
      <c r="AM629" s="120">
        <v>48.37</v>
      </c>
      <c r="AN629" s="118" t="s">
        <v>207</v>
      </c>
      <c r="AO629" s="120">
        <v>74.349999999999994</v>
      </c>
      <c r="AP629" s="120" t="s">
        <v>207</v>
      </c>
      <c r="AQ629" s="120">
        <v>93.73</v>
      </c>
      <c r="AR629" s="120" t="s">
        <v>207</v>
      </c>
      <c r="AS629" s="120">
        <v>101.33</v>
      </c>
      <c r="AT629" s="120" t="s">
        <v>207</v>
      </c>
      <c r="AU629" s="118">
        <f t="shared" si="30"/>
        <v>896.19</v>
      </c>
      <c r="AV629" s="88"/>
      <c r="AW629" s="88"/>
      <c r="AX629" s="88"/>
      <c r="AY629" s="88"/>
      <c r="AZ629" s="88"/>
    </row>
    <row r="630" spans="1:52" s="90" customFormat="1" ht="15" customHeight="1" x14ac:dyDescent="0.3">
      <c r="A630" s="114">
        <v>619</v>
      </c>
      <c r="B630" s="174" t="s">
        <v>1311</v>
      </c>
      <c r="C630" s="120" t="s">
        <v>959</v>
      </c>
      <c r="D630" s="88"/>
      <c r="E630" s="88"/>
      <c r="F630" s="120" t="s">
        <v>958</v>
      </c>
      <c r="G630" s="25" t="s">
        <v>145</v>
      </c>
      <c r="H630" s="85" t="s">
        <v>146</v>
      </c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116">
        <v>343.81</v>
      </c>
      <c r="V630" s="120">
        <v>368.77</v>
      </c>
      <c r="W630" s="120">
        <v>53.75</v>
      </c>
      <c r="X630" s="120" t="s">
        <v>207</v>
      </c>
      <c r="Y630" s="120">
        <v>62.82</v>
      </c>
      <c r="Z630" s="120" t="s">
        <v>207</v>
      </c>
      <c r="AA630" s="120">
        <v>46.67</v>
      </c>
      <c r="AB630" s="120" t="s">
        <v>207</v>
      </c>
      <c r="AC630" s="120">
        <v>35.51</v>
      </c>
      <c r="AD630" s="120" t="s">
        <v>207</v>
      </c>
      <c r="AE630" s="120">
        <v>14.62</v>
      </c>
      <c r="AF630" s="120" t="s">
        <v>207</v>
      </c>
      <c r="AG630" s="120">
        <v>0</v>
      </c>
      <c r="AH630" s="120" t="s">
        <v>207</v>
      </c>
      <c r="AI630" s="120">
        <v>0</v>
      </c>
      <c r="AJ630" s="118" t="s">
        <v>207</v>
      </c>
      <c r="AK630" s="120">
        <v>0</v>
      </c>
      <c r="AL630" s="118" t="s">
        <v>207</v>
      </c>
      <c r="AM630" s="120">
        <v>3.66</v>
      </c>
      <c r="AN630" s="118" t="s">
        <v>207</v>
      </c>
      <c r="AO630" s="120">
        <v>49.58</v>
      </c>
      <c r="AP630" s="120" t="s">
        <v>207</v>
      </c>
      <c r="AQ630" s="120">
        <v>37.729999999999997</v>
      </c>
      <c r="AR630" s="120" t="s">
        <v>207</v>
      </c>
      <c r="AS630" s="120">
        <v>39.47</v>
      </c>
      <c r="AT630" s="120" t="s">
        <v>207</v>
      </c>
      <c r="AU630" s="118">
        <f t="shared" si="30"/>
        <v>343.81000000000006</v>
      </c>
      <c r="AV630" s="88"/>
      <c r="AW630" s="88"/>
      <c r="AX630" s="88"/>
      <c r="AY630" s="88"/>
      <c r="AZ630" s="88"/>
    </row>
    <row r="631" spans="1:52" s="90" customFormat="1" ht="15" customHeight="1" x14ac:dyDescent="0.3">
      <c r="A631" s="114">
        <v>620</v>
      </c>
      <c r="B631" s="174" t="s">
        <v>1312</v>
      </c>
      <c r="C631" s="120" t="s">
        <v>959</v>
      </c>
      <c r="D631" s="88"/>
      <c r="E631" s="88"/>
      <c r="F631" s="120" t="s">
        <v>958</v>
      </c>
      <c r="G631" s="25" t="s">
        <v>145</v>
      </c>
      <c r="H631" s="85" t="s">
        <v>146</v>
      </c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116">
        <v>226.19</v>
      </c>
      <c r="V631" s="120">
        <v>235.91</v>
      </c>
      <c r="W631" s="120">
        <v>46.57</v>
      </c>
      <c r="X631" s="120" t="s">
        <v>207</v>
      </c>
      <c r="Y631" s="120">
        <v>35.83</v>
      </c>
      <c r="Z631" s="120" t="s">
        <v>207</v>
      </c>
      <c r="AA631" s="120">
        <v>33.520000000000003</v>
      </c>
      <c r="AB631" s="120" t="s">
        <v>207</v>
      </c>
      <c r="AC631" s="120">
        <v>26.64</v>
      </c>
      <c r="AD631" s="120" t="s">
        <v>207</v>
      </c>
      <c r="AE631" s="120">
        <v>10.37</v>
      </c>
      <c r="AF631" s="120" t="s">
        <v>207</v>
      </c>
      <c r="AG631" s="120">
        <v>0</v>
      </c>
      <c r="AH631" s="120" t="s">
        <v>207</v>
      </c>
      <c r="AI631" s="120">
        <v>0</v>
      </c>
      <c r="AJ631" s="118" t="s">
        <v>207</v>
      </c>
      <c r="AK631" s="120">
        <v>0</v>
      </c>
      <c r="AL631" s="118" t="s">
        <v>207</v>
      </c>
      <c r="AM631" s="120">
        <v>0.21</v>
      </c>
      <c r="AN631" s="118" t="s">
        <v>207</v>
      </c>
      <c r="AO631" s="120">
        <v>20.7</v>
      </c>
      <c r="AP631" s="120" t="s">
        <v>207</v>
      </c>
      <c r="AQ631" s="120">
        <v>25.49</v>
      </c>
      <c r="AR631" s="120" t="s">
        <v>207</v>
      </c>
      <c r="AS631" s="120">
        <v>26.86</v>
      </c>
      <c r="AT631" s="120" t="s">
        <v>207</v>
      </c>
      <c r="AU631" s="118">
        <f t="shared" si="30"/>
        <v>226.19</v>
      </c>
      <c r="AV631" s="88"/>
      <c r="AW631" s="88"/>
      <c r="AX631" s="88"/>
      <c r="AY631" s="88"/>
      <c r="AZ631" s="88"/>
    </row>
    <row r="632" spans="1:52" s="90" customFormat="1" ht="15" customHeight="1" x14ac:dyDescent="0.3">
      <c r="A632" s="114">
        <v>621</v>
      </c>
      <c r="B632" s="174" t="s">
        <v>1313</v>
      </c>
      <c r="C632" s="120" t="s">
        <v>959</v>
      </c>
      <c r="D632" s="88"/>
      <c r="E632" s="88"/>
      <c r="F632" s="120" t="s">
        <v>958</v>
      </c>
      <c r="G632" s="25" t="s">
        <v>145</v>
      </c>
      <c r="H632" s="85" t="s">
        <v>146</v>
      </c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116">
        <v>131.52000000000001</v>
      </c>
      <c r="V632" s="120">
        <v>150.59</v>
      </c>
      <c r="W632" s="120">
        <v>22.03</v>
      </c>
      <c r="X632" s="120" t="s">
        <v>207</v>
      </c>
      <c r="Y632" s="120">
        <v>25.74</v>
      </c>
      <c r="Z632" s="120" t="s">
        <v>207</v>
      </c>
      <c r="AA632" s="120">
        <v>19.12</v>
      </c>
      <c r="AB632" s="120" t="s">
        <v>207</v>
      </c>
      <c r="AC632" s="120">
        <v>14.55</v>
      </c>
      <c r="AD632" s="120" t="s">
        <v>207</v>
      </c>
      <c r="AE632" s="120">
        <v>5.99</v>
      </c>
      <c r="AF632" s="120" t="s">
        <v>207</v>
      </c>
      <c r="AG632" s="120">
        <v>0</v>
      </c>
      <c r="AH632" s="120" t="s">
        <v>207</v>
      </c>
      <c r="AI632" s="120">
        <v>0</v>
      </c>
      <c r="AJ632" s="118" t="s">
        <v>207</v>
      </c>
      <c r="AK632" s="120">
        <v>0</v>
      </c>
      <c r="AL632" s="118" t="s">
        <v>207</v>
      </c>
      <c r="AM632" s="120">
        <v>0.86</v>
      </c>
      <c r="AN632" s="118" t="s">
        <v>207</v>
      </c>
      <c r="AO632" s="120">
        <v>11.6</v>
      </c>
      <c r="AP632" s="120" t="s">
        <v>207</v>
      </c>
      <c r="AQ632" s="120">
        <v>15.46</v>
      </c>
      <c r="AR632" s="120" t="s">
        <v>207</v>
      </c>
      <c r="AS632" s="120">
        <v>16.170000000000002</v>
      </c>
      <c r="AT632" s="120" t="s">
        <v>207</v>
      </c>
      <c r="AU632" s="118">
        <f t="shared" si="30"/>
        <v>131.51999999999998</v>
      </c>
      <c r="AV632" s="88"/>
      <c r="AW632" s="88"/>
      <c r="AX632" s="88"/>
      <c r="AY632" s="88"/>
      <c r="AZ632" s="88"/>
    </row>
    <row r="633" spans="1:52" s="90" customFormat="1" ht="15" customHeight="1" x14ac:dyDescent="0.3">
      <c r="A633" s="114">
        <v>622</v>
      </c>
      <c r="B633" s="174" t="s">
        <v>1314</v>
      </c>
      <c r="C633" s="120" t="s">
        <v>959</v>
      </c>
      <c r="D633" s="88"/>
      <c r="E633" s="88"/>
      <c r="F633" s="120" t="s">
        <v>958</v>
      </c>
      <c r="G633" s="25" t="s">
        <v>145</v>
      </c>
      <c r="H633" s="85" t="s">
        <v>146</v>
      </c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116">
        <v>426.43</v>
      </c>
      <c r="V633" s="120">
        <v>436.33</v>
      </c>
      <c r="W633" s="120">
        <v>89.62</v>
      </c>
      <c r="X633" s="120" t="s">
        <v>207</v>
      </c>
      <c r="Y633" s="120">
        <v>64.400000000000006</v>
      </c>
      <c r="Z633" s="120" t="s">
        <v>207</v>
      </c>
      <c r="AA633" s="120">
        <v>67.010000000000005</v>
      </c>
      <c r="AB633" s="120" t="s">
        <v>207</v>
      </c>
      <c r="AC633" s="120">
        <v>43.97</v>
      </c>
      <c r="AD633" s="120" t="s">
        <v>207</v>
      </c>
      <c r="AE633" s="120">
        <v>20.02</v>
      </c>
      <c r="AF633" s="120" t="s">
        <v>207</v>
      </c>
      <c r="AG633" s="120">
        <v>0</v>
      </c>
      <c r="AH633" s="120" t="s">
        <v>207</v>
      </c>
      <c r="AI633" s="120">
        <v>0</v>
      </c>
      <c r="AJ633" s="118" t="s">
        <v>207</v>
      </c>
      <c r="AK633" s="120">
        <v>0</v>
      </c>
      <c r="AL633" s="118" t="s">
        <v>207</v>
      </c>
      <c r="AM633" s="120">
        <v>0</v>
      </c>
      <c r="AN633" s="118" t="s">
        <v>207</v>
      </c>
      <c r="AO633" s="120">
        <v>36.299999999999997</v>
      </c>
      <c r="AP633" s="120" t="s">
        <v>207</v>
      </c>
      <c r="AQ633" s="120">
        <v>52.45</v>
      </c>
      <c r="AR633" s="120" t="s">
        <v>207</v>
      </c>
      <c r="AS633" s="120">
        <v>52.66</v>
      </c>
      <c r="AT633" s="120" t="s">
        <v>207</v>
      </c>
      <c r="AU633" s="118">
        <f t="shared" si="30"/>
        <v>426.42999999999995</v>
      </c>
      <c r="AV633" s="88"/>
      <c r="AW633" s="88"/>
      <c r="AX633" s="88"/>
      <c r="AY633" s="88"/>
      <c r="AZ633" s="88"/>
    </row>
    <row r="634" spans="1:52" s="90" customFormat="1" ht="15" customHeight="1" x14ac:dyDescent="0.3">
      <c r="A634" s="114">
        <v>623</v>
      </c>
      <c r="B634" s="174" t="s">
        <v>1315</v>
      </c>
      <c r="C634" s="120" t="s">
        <v>959</v>
      </c>
      <c r="D634" s="88"/>
      <c r="E634" s="88"/>
      <c r="F634" s="120" t="s">
        <v>958</v>
      </c>
      <c r="G634" s="25" t="s">
        <v>145</v>
      </c>
      <c r="H634" s="85" t="s">
        <v>146</v>
      </c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116">
        <v>184.93</v>
      </c>
      <c r="V634" s="120">
        <v>207.01</v>
      </c>
      <c r="W634" s="120">
        <v>43.03</v>
      </c>
      <c r="X634" s="120" t="s">
        <v>207</v>
      </c>
      <c r="Y634" s="120">
        <v>33.090000000000003</v>
      </c>
      <c r="Z634" s="120" t="s">
        <v>207</v>
      </c>
      <c r="AA634" s="120">
        <v>27.89</v>
      </c>
      <c r="AB634" s="120" t="s">
        <v>207</v>
      </c>
      <c r="AC634" s="120">
        <v>19.28</v>
      </c>
      <c r="AD634" s="120" t="s">
        <v>207</v>
      </c>
      <c r="AE634" s="120">
        <v>6.74</v>
      </c>
      <c r="AF634" s="120" t="s">
        <v>207</v>
      </c>
      <c r="AG634" s="120">
        <v>0</v>
      </c>
      <c r="AH634" s="120" t="s">
        <v>207</v>
      </c>
      <c r="AI634" s="120">
        <v>0</v>
      </c>
      <c r="AJ634" s="118" t="s">
        <v>207</v>
      </c>
      <c r="AK634" s="120">
        <v>0</v>
      </c>
      <c r="AL634" s="118" t="s">
        <v>207</v>
      </c>
      <c r="AM634" s="120">
        <v>0</v>
      </c>
      <c r="AN634" s="118" t="s">
        <v>207</v>
      </c>
      <c r="AO634" s="120">
        <v>12.39</v>
      </c>
      <c r="AP634" s="120" t="s">
        <v>207</v>
      </c>
      <c r="AQ634" s="120">
        <v>19.010000000000002</v>
      </c>
      <c r="AR634" s="120" t="s">
        <v>207</v>
      </c>
      <c r="AS634" s="120">
        <v>23.5</v>
      </c>
      <c r="AT634" s="120" t="s">
        <v>207</v>
      </c>
      <c r="AU634" s="118">
        <f t="shared" si="30"/>
        <v>184.93</v>
      </c>
      <c r="AV634" s="88"/>
      <c r="AW634" s="88"/>
      <c r="AX634" s="88"/>
      <c r="AY634" s="88"/>
      <c r="AZ634" s="88"/>
    </row>
    <row r="635" spans="1:52" s="90" customFormat="1" ht="15" customHeight="1" x14ac:dyDescent="0.3">
      <c r="A635" s="114">
        <v>624</v>
      </c>
      <c r="B635" s="174" t="s">
        <v>1316</v>
      </c>
      <c r="C635" s="120" t="s">
        <v>959</v>
      </c>
      <c r="D635" s="88"/>
      <c r="E635" s="88"/>
      <c r="F635" s="120" t="s">
        <v>958</v>
      </c>
      <c r="G635" s="25" t="s">
        <v>145</v>
      </c>
      <c r="H635" s="85" t="s">
        <v>146</v>
      </c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116">
        <v>129.99</v>
      </c>
      <c r="V635" s="120">
        <v>141.13999999999999</v>
      </c>
      <c r="W635" s="120">
        <v>30</v>
      </c>
      <c r="X635" s="120" t="s">
        <v>207</v>
      </c>
      <c r="Y635" s="120">
        <v>23.11</v>
      </c>
      <c r="Z635" s="120" t="s">
        <v>207</v>
      </c>
      <c r="AA635" s="120">
        <v>19.36</v>
      </c>
      <c r="AB635" s="120" t="s">
        <v>207</v>
      </c>
      <c r="AC635" s="120">
        <v>13.69</v>
      </c>
      <c r="AD635" s="120" t="s">
        <v>207</v>
      </c>
      <c r="AE635" s="120">
        <v>4.84</v>
      </c>
      <c r="AF635" s="120" t="s">
        <v>207</v>
      </c>
      <c r="AG635" s="120">
        <v>0</v>
      </c>
      <c r="AH635" s="120" t="s">
        <v>207</v>
      </c>
      <c r="AI635" s="120">
        <v>0</v>
      </c>
      <c r="AJ635" s="118" t="s">
        <v>207</v>
      </c>
      <c r="AK635" s="120">
        <v>0</v>
      </c>
      <c r="AL635" s="118" t="s">
        <v>207</v>
      </c>
      <c r="AM635" s="120">
        <v>0</v>
      </c>
      <c r="AN635" s="118" t="s">
        <v>207</v>
      </c>
      <c r="AO635" s="120">
        <v>8.86</v>
      </c>
      <c r="AP635" s="120" t="s">
        <v>207</v>
      </c>
      <c r="AQ635" s="120">
        <v>13.49</v>
      </c>
      <c r="AR635" s="120" t="s">
        <v>207</v>
      </c>
      <c r="AS635" s="120">
        <v>16.64</v>
      </c>
      <c r="AT635" s="120" t="s">
        <v>207</v>
      </c>
      <c r="AU635" s="118">
        <f t="shared" si="30"/>
        <v>129.99</v>
      </c>
      <c r="AV635" s="88"/>
      <c r="AW635" s="88"/>
      <c r="AX635" s="88"/>
      <c r="AY635" s="88"/>
      <c r="AZ635" s="88"/>
    </row>
    <row r="636" spans="1:52" s="90" customFormat="1" ht="15" customHeight="1" x14ac:dyDescent="0.3">
      <c r="A636" s="114">
        <v>625</v>
      </c>
      <c r="B636" s="174" t="s">
        <v>1317</v>
      </c>
      <c r="C636" s="120" t="s">
        <v>959</v>
      </c>
      <c r="D636" s="88"/>
      <c r="E636" s="88"/>
      <c r="F636" s="120" t="s">
        <v>958</v>
      </c>
      <c r="G636" s="25" t="s">
        <v>145</v>
      </c>
      <c r="H636" s="85" t="s">
        <v>146</v>
      </c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116">
        <v>231.5</v>
      </c>
      <c r="V636" s="120">
        <v>257.05</v>
      </c>
      <c r="W636" s="120">
        <v>50.55</v>
      </c>
      <c r="X636" s="120" t="s">
        <v>207</v>
      </c>
      <c r="Y636" s="120">
        <v>38.9</v>
      </c>
      <c r="Z636" s="120" t="s">
        <v>207</v>
      </c>
      <c r="AA636" s="120">
        <v>34.950000000000003</v>
      </c>
      <c r="AB636" s="120" t="s">
        <v>207</v>
      </c>
      <c r="AC636" s="120">
        <v>20.91</v>
      </c>
      <c r="AD636" s="120" t="s">
        <v>207</v>
      </c>
      <c r="AE636" s="120">
        <v>6.67</v>
      </c>
      <c r="AF636" s="120" t="s">
        <v>207</v>
      </c>
      <c r="AG636" s="120">
        <v>0</v>
      </c>
      <c r="AH636" s="120" t="s">
        <v>207</v>
      </c>
      <c r="AI636" s="120">
        <v>0</v>
      </c>
      <c r="AJ636" s="118" t="s">
        <v>207</v>
      </c>
      <c r="AK636" s="120">
        <v>0</v>
      </c>
      <c r="AL636" s="118" t="s">
        <v>207</v>
      </c>
      <c r="AM636" s="120">
        <v>0.61</v>
      </c>
      <c r="AN636" s="118" t="s">
        <v>207</v>
      </c>
      <c r="AO636" s="120">
        <v>21.17</v>
      </c>
      <c r="AP636" s="120" t="s">
        <v>207</v>
      </c>
      <c r="AQ636" s="120">
        <v>28.22</v>
      </c>
      <c r="AR636" s="120" t="s">
        <v>207</v>
      </c>
      <c r="AS636" s="120">
        <v>29.52</v>
      </c>
      <c r="AT636" s="120" t="s">
        <v>207</v>
      </c>
      <c r="AU636" s="118">
        <f t="shared" si="30"/>
        <v>231.5</v>
      </c>
      <c r="AV636" s="88"/>
      <c r="AW636" s="88"/>
      <c r="AX636" s="88"/>
      <c r="AY636" s="88"/>
      <c r="AZ636" s="88"/>
    </row>
    <row r="637" spans="1:52" s="90" customFormat="1" ht="15" customHeight="1" x14ac:dyDescent="0.3">
      <c r="A637" s="114">
        <v>626</v>
      </c>
      <c r="B637" s="174" t="s">
        <v>1318</v>
      </c>
      <c r="C637" s="120" t="s">
        <v>959</v>
      </c>
      <c r="D637" s="88"/>
      <c r="E637" s="88"/>
      <c r="F637" s="120" t="s">
        <v>958</v>
      </c>
      <c r="G637" s="25" t="s">
        <v>145</v>
      </c>
      <c r="H637" s="85" t="s">
        <v>146</v>
      </c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116">
        <v>111.23</v>
      </c>
      <c r="V637" s="120">
        <v>124.34</v>
      </c>
      <c r="W637" s="120">
        <v>15.14</v>
      </c>
      <c r="X637" s="120" t="s">
        <v>207</v>
      </c>
      <c r="Y637" s="120">
        <v>18.420000000000002</v>
      </c>
      <c r="Z637" s="120" t="s">
        <v>207</v>
      </c>
      <c r="AA637" s="120">
        <v>13.27</v>
      </c>
      <c r="AB637" s="120" t="s">
        <v>207</v>
      </c>
      <c r="AC637" s="120">
        <v>10.73</v>
      </c>
      <c r="AD637" s="120" t="s">
        <v>207</v>
      </c>
      <c r="AE637" s="120">
        <v>24.84</v>
      </c>
      <c r="AF637" s="120" t="s">
        <v>207</v>
      </c>
      <c r="AG637" s="120">
        <v>0</v>
      </c>
      <c r="AH637" s="120" t="s">
        <v>207</v>
      </c>
      <c r="AI637" s="120">
        <v>0</v>
      </c>
      <c r="AJ637" s="118" t="s">
        <v>207</v>
      </c>
      <c r="AK637" s="120">
        <v>0</v>
      </c>
      <c r="AL637" s="118" t="s">
        <v>207</v>
      </c>
      <c r="AM637" s="120">
        <v>0</v>
      </c>
      <c r="AN637" s="118" t="s">
        <v>207</v>
      </c>
      <c r="AO637" s="120">
        <v>6.03</v>
      </c>
      <c r="AP637" s="120" t="s">
        <v>207</v>
      </c>
      <c r="AQ637" s="120">
        <v>10.29</v>
      </c>
      <c r="AR637" s="120" t="s">
        <v>207</v>
      </c>
      <c r="AS637" s="120">
        <v>12.51</v>
      </c>
      <c r="AT637" s="120" t="s">
        <v>207</v>
      </c>
      <c r="AU637" s="118">
        <f t="shared" ref="AU637:AU658" si="31">SUM(W637,Y637,AA637,AC637,AE637,AG637,AI637,AW637,AK637,AM637,AO637,AQ637,AS637)</f>
        <v>111.23</v>
      </c>
      <c r="AV637" s="88"/>
      <c r="AW637" s="88"/>
      <c r="AX637" s="88"/>
      <c r="AY637" s="88"/>
      <c r="AZ637" s="88"/>
    </row>
    <row r="638" spans="1:52" s="90" customFormat="1" ht="15" customHeight="1" x14ac:dyDescent="0.3">
      <c r="A638" s="114">
        <v>627</v>
      </c>
      <c r="B638" s="174" t="s">
        <v>1319</v>
      </c>
      <c r="C638" s="120" t="s">
        <v>959</v>
      </c>
      <c r="D638" s="88"/>
      <c r="E638" s="88"/>
      <c r="F638" s="120" t="s">
        <v>958</v>
      </c>
      <c r="G638" s="25" t="s">
        <v>145</v>
      </c>
      <c r="H638" s="85" t="s">
        <v>146</v>
      </c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116">
        <v>780.83</v>
      </c>
      <c r="V638" s="120">
        <v>849.92</v>
      </c>
      <c r="W638" s="120">
        <v>157.25</v>
      </c>
      <c r="X638" s="120" t="s">
        <v>207</v>
      </c>
      <c r="Y638" s="120">
        <v>121</v>
      </c>
      <c r="Z638" s="120" t="s">
        <v>207</v>
      </c>
      <c r="AA638" s="120">
        <v>128.83000000000001</v>
      </c>
      <c r="AB638" s="120" t="s">
        <v>207</v>
      </c>
      <c r="AC638" s="120">
        <v>65</v>
      </c>
      <c r="AD638" s="120" t="s">
        <v>207</v>
      </c>
      <c r="AE638" s="120">
        <v>27</v>
      </c>
      <c r="AF638" s="120" t="s">
        <v>207</v>
      </c>
      <c r="AG638" s="120">
        <v>0</v>
      </c>
      <c r="AH638" s="120" t="s">
        <v>207</v>
      </c>
      <c r="AI638" s="120">
        <v>0</v>
      </c>
      <c r="AJ638" s="118" t="s">
        <v>207</v>
      </c>
      <c r="AK638" s="120">
        <v>0</v>
      </c>
      <c r="AL638" s="118" t="s">
        <v>207</v>
      </c>
      <c r="AM638" s="120">
        <v>1.46</v>
      </c>
      <c r="AN638" s="118" t="s">
        <v>207</v>
      </c>
      <c r="AO638" s="120">
        <v>80.63</v>
      </c>
      <c r="AP638" s="120" t="s">
        <v>207</v>
      </c>
      <c r="AQ638" s="120">
        <v>95.69</v>
      </c>
      <c r="AR638" s="120" t="s">
        <v>207</v>
      </c>
      <c r="AS638" s="120">
        <v>103.97</v>
      </c>
      <c r="AT638" s="120" t="s">
        <v>207</v>
      </c>
      <c r="AU638" s="118">
        <f t="shared" si="31"/>
        <v>780.83000000000015</v>
      </c>
      <c r="AV638" s="88"/>
      <c r="AW638" s="88"/>
      <c r="AX638" s="88"/>
      <c r="AY638" s="88"/>
      <c r="AZ638" s="88"/>
    </row>
    <row r="639" spans="1:52" s="90" customFormat="1" ht="15" customHeight="1" x14ac:dyDescent="0.3">
      <c r="A639" s="114">
        <v>628</v>
      </c>
      <c r="B639" s="174" t="s">
        <v>1320</v>
      </c>
      <c r="C639" s="120" t="s">
        <v>959</v>
      </c>
      <c r="D639" s="88"/>
      <c r="E639" s="88"/>
      <c r="F639" s="120" t="s">
        <v>958</v>
      </c>
      <c r="G639" s="25" t="s">
        <v>145</v>
      </c>
      <c r="H639" s="85" t="s">
        <v>146</v>
      </c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116">
        <v>145.78</v>
      </c>
      <c r="V639" s="120">
        <v>167.3</v>
      </c>
      <c r="W639" s="120">
        <v>32.979999999999997</v>
      </c>
      <c r="X639" s="120" t="s">
        <v>207</v>
      </c>
      <c r="Y639" s="120">
        <v>25.38</v>
      </c>
      <c r="Z639" s="120" t="s">
        <v>207</v>
      </c>
      <c r="AA639" s="120">
        <v>22.81</v>
      </c>
      <c r="AB639" s="120" t="s">
        <v>207</v>
      </c>
      <c r="AC639" s="120">
        <v>14.96</v>
      </c>
      <c r="AD639" s="120" t="s">
        <v>207</v>
      </c>
      <c r="AE639" s="120">
        <v>4.88</v>
      </c>
      <c r="AF639" s="120" t="s">
        <v>207</v>
      </c>
      <c r="AG639" s="120">
        <v>0</v>
      </c>
      <c r="AH639" s="120" t="s">
        <v>207</v>
      </c>
      <c r="AI639" s="120">
        <v>0</v>
      </c>
      <c r="AJ639" s="118" t="s">
        <v>207</v>
      </c>
      <c r="AK639" s="120">
        <v>0</v>
      </c>
      <c r="AL639" s="118" t="s">
        <v>207</v>
      </c>
      <c r="AM639" s="120">
        <v>0</v>
      </c>
      <c r="AN639" s="118" t="s">
        <v>207</v>
      </c>
      <c r="AO639" s="120">
        <v>8.91</v>
      </c>
      <c r="AP639" s="120" t="s">
        <v>207</v>
      </c>
      <c r="AQ639" s="120">
        <v>16.309999999999999</v>
      </c>
      <c r="AR639" s="120" t="s">
        <v>207</v>
      </c>
      <c r="AS639" s="120">
        <v>19.55</v>
      </c>
      <c r="AT639" s="120" t="s">
        <v>207</v>
      </c>
      <c r="AU639" s="118">
        <f t="shared" si="31"/>
        <v>145.78</v>
      </c>
      <c r="AV639" s="88"/>
      <c r="AW639" s="88"/>
      <c r="AX639" s="88"/>
      <c r="AY639" s="88"/>
      <c r="AZ639" s="88"/>
    </row>
    <row r="640" spans="1:52" s="90" customFormat="1" ht="15" customHeight="1" x14ac:dyDescent="0.3">
      <c r="A640" s="114">
        <v>629</v>
      </c>
      <c r="B640" s="174" t="s">
        <v>1321</v>
      </c>
      <c r="C640" s="120" t="s">
        <v>959</v>
      </c>
      <c r="D640" s="88"/>
      <c r="E640" s="88"/>
      <c r="F640" s="120" t="s">
        <v>958</v>
      </c>
      <c r="G640" s="25" t="s">
        <v>145</v>
      </c>
      <c r="H640" s="85" t="s">
        <v>146</v>
      </c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116">
        <v>198.01</v>
      </c>
      <c r="V640" s="120">
        <v>227.04</v>
      </c>
      <c r="W640" s="120">
        <v>44.77</v>
      </c>
      <c r="X640" s="120" t="s">
        <v>207</v>
      </c>
      <c r="Y640" s="120">
        <v>34.450000000000003</v>
      </c>
      <c r="Z640" s="120" t="s">
        <v>207</v>
      </c>
      <c r="AA640" s="120">
        <v>30.94</v>
      </c>
      <c r="AB640" s="120" t="s">
        <v>207</v>
      </c>
      <c r="AC640" s="120">
        <v>20.34</v>
      </c>
      <c r="AD640" s="120" t="s">
        <v>207</v>
      </c>
      <c r="AE640" s="120">
        <v>6.65</v>
      </c>
      <c r="AF640" s="120" t="s">
        <v>207</v>
      </c>
      <c r="AG640" s="120">
        <v>0</v>
      </c>
      <c r="AH640" s="120" t="s">
        <v>207</v>
      </c>
      <c r="AI640" s="120">
        <v>0</v>
      </c>
      <c r="AJ640" s="118" t="s">
        <v>207</v>
      </c>
      <c r="AK640" s="120">
        <v>0</v>
      </c>
      <c r="AL640" s="118" t="s">
        <v>207</v>
      </c>
      <c r="AM640" s="120">
        <v>0</v>
      </c>
      <c r="AN640" s="118" t="s">
        <v>207</v>
      </c>
      <c r="AO640" s="120">
        <v>12.11</v>
      </c>
      <c r="AP640" s="120" t="s">
        <v>207</v>
      </c>
      <c r="AQ640" s="120">
        <v>22.17</v>
      </c>
      <c r="AR640" s="120" t="s">
        <v>207</v>
      </c>
      <c r="AS640" s="120">
        <v>26.58</v>
      </c>
      <c r="AT640" s="120" t="s">
        <v>207</v>
      </c>
      <c r="AU640" s="118">
        <f t="shared" si="31"/>
        <v>198.01</v>
      </c>
      <c r="AV640" s="88"/>
      <c r="AW640" s="88"/>
      <c r="AX640" s="88"/>
      <c r="AY640" s="88"/>
      <c r="AZ640" s="88"/>
    </row>
    <row r="641" spans="1:52" s="90" customFormat="1" ht="15" customHeight="1" x14ac:dyDescent="0.3">
      <c r="A641" s="114">
        <v>630</v>
      </c>
      <c r="B641" s="174" t="s">
        <v>1322</v>
      </c>
      <c r="C641" s="120" t="s">
        <v>959</v>
      </c>
      <c r="D641" s="88"/>
      <c r="E641" s="88"/>
      <c r="F641" s="120" t="s">
        <v>958</v>
      </c>
      <c r="G641" s="25" t="s">
        <v>145</v>
      </c>
      <c r="H641" s="85" t="s">
        <v>146</v>
      </c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116">
        <v>198.04</v>
      </c>
      <c r="V641" s="120">
        <v>227.04</v>
      </c>
      <c r="W641" s="120">
        <v>44.77</v>
      </c>
      <c r="X641" s="120" t="s">
        <v>207</v>
      </c>
      <c r="Y641" s="120">
        <v>34.450000000000003</v>
      </c>
      <c r="Z641" s="120" t="s">
        <v>207</v>
      </c>
      <c r="AA641" s="120">
        <v>30.94</v>
      </c>
      <c r="AB641" s="120" t="s">
        <v>207</v>
      </c>
      <c r="AC641" s="120">
        <v>20.329999999999998</v>
      </c>
      <c r="AD641" s="120" t="s">
        <v>207</v>
      </c>
      <c r="AE641" s="120">
        <v>6.66</v>
      </c>
      <c r="AF641" s="120" t="s">
        <v>207</v>
      </c>
      <c r="AG641" s="120">
        <v>0</v>
      </c>
      <c r="AH641" s="120" t="s">
        <v>207</v>
      </c>
      <c r="AI641" s="120">
        <v>0</v>
      </c>
      <c r="AJ641" s="118" t="s">
        <v>207</v>
      </c>
      <c r="AK641" s="120">
        <v>0</v>
      </c>
      <c r="AL641" s="118" t="s">
        <v>207</v>
      </c>
      <c r="AM641" s="120">
        <v>0</v>
      </c>
      <c r="AN641" s="118" t="s">
        <v>207</v>
      </c>
      <c r="AO641" s="120">
        <v>12.43</v>
      </c>
      <c r="AP641" s="120" t="s">
        <v>207</v>
      </c>
      <c r="AQ641" s="120">
        <v>22.18</v>
      </c>
      <c r="AR641" s="120" t="s">
        <v>207</v>
      </c>
      <c r="AS641" s="120">
        <v>26.58</v>
      </c>
      <c r="AT641" s="120" t="s">
        <v>207</v>
      </c>
      <c r="AU641" s="118">
        <f t="shared" si="31"/>
        <v>198.34000000000003</v>
      </c>
      <c r="AV641" s="88"/>
      <c r="AW641" s="88"/>
      <c r="AX641" s="88"/>
      <c r="AY641" s="88"/>
      <c r="AZ641" s="88"/>
    </row>
    <row r="642" spans="1:52" s="90" customFormat="1" ht="15" customHeight="1" x14ac:dyDescent="0.3">
      <c r="A642" s="114">
        <v>631</v>
      </c>
      <c r="B642" s="174" t="s">
        <v>1323</v>
      </c>
      <c r="C642" s="120" t="s">
        <v>959</v>
      </c>
      <c r="D642" s="88"/>
      <c r="E642" s="88"/>
      <c r="F642" s="120" t="s">
        <v>958</v>
      </c>
      <c r="G642" s="25" t="s">
        <v>145</v>
      </c>
      <c r="H642" s="85" t="s">
        <v>146</v>
      </c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116">
        <v>323.01</v>
      </c>
      <c r="V642" s="120">
        <v>310.2</v>
      </c>
      <c r="W642" s="120">
        <v>41.3</v>
      </c>
      <c r="X642" s="120" t="s">
        <v>207</v>
      </c>
      <c r="Y642" s="120">
        <v>49.76</v>
      </c>
      <c r="Z642" s="120" t="s">
        <v>207</v>
      </c>
      <c r="AA642" s="120">
        <v>37.17</v>
      </c>
      <c r="AB642" s="120" t="s">
        <v>207</v>
      </c>
      <c r="AC642" s="120">
        <v>29.47</v>
      </c>
      <c r="AD642" s="120" t="s">
        <v>207</v>
      </c>
      <c r="AE642" s="120">
        <v>17.600000000000001</v>
      </c>
      <c r="AF642" s="120" t="s">
        <v>207</v>
      </c>
      <c r="AG642" s="120">
        <v>7.01</v>
      </c>
      <c r="AH642" s="120" t="s">
        <v>207</v>
      </c>
      <c r="AI642" s="120">
        <v>6.57</v>
      </c>
      <c r="AJ642" s="118" t="s">
        <v>207</v>
      </c>
      <c r="AK642" s="120">
        <v>7.46</v>
      </c>
      <c r="AL642" s="118" t="s">
        <v>207</v>
      </c>
      <c r="AM642" s="120">
        <v>9.3699999999999992</v>
      </c>
      <c r="AN642" s="118" t="s">
        <v>207</v>
      </c>
      <c r="AO642" s="120">
        <v>22.73</v>
      </c>
      <c r="AP642" s="120" t="s">
        <v>207</v>
      </c>
      <c r="AQ642" s="120">
        <v>29.75</v>
      </c>
      <c r="AR642" s="120" t="s">
        <v>207</v>
      </c>
      <c r="AS642" s="120">
        <v>31.5</v>
      </c>
      <c r="AT642" s="120" t="s">
        <v>207</v>
      </c>
      <c r="AU642" s="118">
        <f t="shared" si="31"/>
        <v>289.69</v>
      </c>
      <c r="AV642" s="88"/>
      <c r="AW642" s="88"/>
      <c r="AX642" s="88"/>
      <c r="AY642" s="88"/>
      <c r="AZ642" s="88"/>
    </row>
    <row r="643" spans="1:52" s="90" customFormat="1" ht="15" customHeight="1" x14ac:dyDescent="0.3">
      <c r="A643" s="114">
        <v>632</v>
      </c>
      <c r="B643" s="174" t="s">
        <v>1324</v>
      </c>
      <c r="C643" s="120" t="s">
        <v>959</v>
      </c>
      <c r="D643" s="88"/>
      <c r="E643" s="88"/>
      <c r="F643" s="120" t="s">
        <v>958</v>
      </c>
      <c r="G643" s="25" t="s">
        <v>145</v>
      </c>
      <c r="H643" s="85" t="s">
        <v>146</v>
      </c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116">
        <v>298.93</v>
      </c>
      <c r="V643" s="120">
        <v>339.28</v>
      </c>
      <c r="W643" s="120">
        <v>44.95</v>
      </c>
      <c r="X643" s="120" t="s">
        <v>207</v>
      </c>
      <c r="Y643" s="120">
        <v>54.17</v>
      </c>
      <c r="Z643" s="120" t="s">
        <v>207</v>
      </c>
      <c r="AA643" s="120">
        <v>40.729999999999997</v>
      </c>
      <c r="AB643" s="120" t="s">
        <v>207</v>
      </c>
      <c r="AC643" s="120">
        <v>32.700000000000003</v>
      </c>
      <c r="AD643" s="120" t="s">
        <v>207</v>
      </c>
      <c r="AE643" s="120">
        <v>20.13</v>
      </c>
      <c r="AF643" s="120" t="s">
        <v>207</v>
      </c>
      <c r="AG643" s="120">
        <v>8.6199999999999992</v>
      </c>
      <c r="AH643" s="120" t="s">
        <v>207</v>
      </c>
      <c r="AI643" s="120">
        <v>8.1199999999999992</v>
      </c>
      <c r="AJ643" s="118" t="s">
        <v>207</v>
      </c>
      <c r="AK643" s="120">
        <v>9.19</v>
      </c>
      <c r="AL643" s="118" t="s">
        <v>207</v>
      </c>
      <c r="AM643" s="120">
        <v>11.19</v>
      </c>
      <c r="AN643" s="118" t="s">
        <v>207</v>
      </c>
      <c r="AO643" s="120">
        <v>25.46</v>
      </c>
      <c r="AP643" s="120" t="s">
        <v>207</v>
      </c>
      <c r="AQ643" s="120">
        <v>32.909999999999997</v>
      </c>
      <c r="AR643" s="120" t="s">
        <v>207</v>
      </c>
      <c r="AS643" s="120">
        <v>34.67</v>
      </c>
      <c r="AT643" s="120" t="s">
        <v>207</v>
      </c>
      <c r="AU643" s="118">
        <f t="shared" si="31"/>
        <v>322.84000000000003</v>
      </c>
      <c r="AV643" s="88"/>
      <c r="AW643" s="88"/>
      <c r="AX643" s="88"/>
      <c r="AY643" s="88"/>
      <c r="AZ643" s="88"/>
    </row>
    <row r="644" spans="1:52" s="90" customFormat="1" ht="15" customHeight="1" x14ac:dyDescent="0.3">
      <c r="A644" s="114">
        <v>633</v>
      </c>
      <c r="B644" s="174" t="s">
        <v>1325</v>
      </c>
      <c r="C644" s="120" t="s">
        <v>959</v>
      </c>
      <c r="D644" s="88"/>
      <c r="E644" s="88"/>
      <c r="F644" s="120" t="s">
        <v>958</v>
      </c>
      <c r="G644" s="25" t="s">
        <v>145</v>
      </c>
      <c r="H644" s="85" t="s">
        <v>146</v>
      </c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116">
        <v>170.8</v>
      </c>
      <c r="V644" s="120">
        <v>195.68</v>
      </c>
      <c r="W644" s="120">
        <v>38.6</v>
      </c>
      <c r="X644" s="120" t="s">
        <v>207</v>
      </c>
      <c r="Y644" s="120">
        <v>29.69</v>
      </c>
      <c r="Z644" s="120" t="s">
        <v>207</v>
      </c>
      <c r="AA644" s="120">
        <v>26.66</v>
      </c>
      <c r="AB644" s="120" t="s">
        <v>207</v>
      </c>
      <c r="AC644" s="120">
        <v>17.559999999999999</v>
      </c>
      <c r="AD644" s="120" t="s">
        <v>207</v>
      </c>
      <c r="AE644" s="120">
        <v>5.75</v>
      </c>
      <c r="AF644" s="120" t="s">
        <v>207</v>
      </c>
      <c r="AG644" s="120">
        <v>0</v>
      </c>
      <c r="AH644" s="120" t="s">
        <v>207</v>
      </c>
      <c r="AI644" s="120">
        <v>0</v>
      </c>
      <c r="AJ644" s="118" t="s">
        <v>207</v>
      </c>
      <c r="AK644" s="120">
        <v>0</v>
      </c>
      <c r="AL644" s="118" t="s">
        <v>207</v>
      </c>
      <c r="AM644" s="120">
        <v>0</v>
      </c>
      <c r="AN644" s="118" t="s">
        <v>207</v>
      </c>
      <c r="AO644" s="120">
        <v>10.47</v>
      </c>
      <c r="AP644" s="120" t="s">
        <v>207</v>
      </c>
      <c r="AQ644" s="120">
        <v>19.13</v>
      </c>
      <c r="AR644" s="120" t="s">
        <v>207</v>
      </c>
      <c r="AS644" s="120">
        <v>22.94</v>
      </c>
      <c r="AT644" s="120" t="s">
        <v>207</v>
      </c>
      <c r="AU644" s="118">
        <f t="shared" si="31"/>
        <v>170.8</v>
      </c>
      <c r="AV644" s="88"/>
      <c r="AW644" s="88"/>
      <c r="AX644" s="88"/>
      <c r="AY644" s="88"/>
      <c r="AZ644" s="88"/>
    </row>
    <row r="645" spans="1:52" s="90" customFormat="1" ht="15" customHeight="1" x14ac:dyDescent="0.3">
      <c r="A645" s="114">
        <v>634</v>
      </c>
      <c r="B645" s="174" t="s">
        <v>1326</v>
      </c>
      <c r="C645" s="120" t="s">
        <v>959</v>
      </c>
      <c r="D645" s="88"/>
      <c r="E645" s="88"/>
      <c r="F645" s="120" t="s">
        <v>958</v>
      </c>
      <c r="G645" s="25" t="s">
        <v>145</v>
      </c>
      <c r="H645" s="85" t="s">
        <v>146</v>
      </c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116">
        <v>421.09</v>
      </c>
      <c r="V645" s="120">
        <v>467.96</v>
      </c>
      <c r="W645" s="120"/>
      <c r="X645" s="120" t="s">
        <v>207</v>
      </c>
      <c r="Y645" s="120"/>
      <c r="Z645" s="120" t="s">
        <v>207</v>
      </c>
      <c r="AA645" s="120"/>
      <c r="AB645" s="120" t="s">
        <v>207</v>
      </c>
      <c r="AC645" s="120"/>
      <c r="AD645" s="120" t="s">
        <v>207</v>
      </c>
      <c r="AE645" s="120"/>
      <c r="AF645" s="120" t="s">
        <v>207</v>
      </c>
      <c r="AG645" s="120"/>
      <c r="AH645" s="120" t="s">
        <v>207</v>
      </c>
      <c r="AI645" s="120"/>
      <c r="AJ645" s="118" t="s">
        <v>207</v>
      </c>
      <c r="AK645" s="120"/>
      <c r="AL645" s="118" t="s">
        <v>207</v>
      </c>
      <c r="AM645" s="120"/>
      <c r="AN645" s="118" t="s">
        <v>207</v>
      </c>
      <c r="AO645" s="120"/>
      <c r="AP645" s="120" t="s">
        <v>207</v>
      </c>
      <c r="AQ645" s="120"/>
      <c r="AR645" s="120" t="s">
        <v>207</v>
      </c>
      <c r="AS645" s="120"/>
      <c r="AT645" s="120" t="s">
        <v>207</v>
      </c>
      <c r="AU645" s="118">
        <f t="shared" si="31"/>
        <v>0</v>
      </c>
      <c r="AV645" s="88"/>
      <c r="AW645" s="88"/>
      <c r="AX645" s="88"/>
      <c r="AY645" s="88"/>
      <c r="AZ645" s="88"/>
    </row>
    <row r="646" spans="1:52" s="90" customFormat="1" ht="15" customHeight="1" x14ac:dyDescent="0.3">
      <c r="A646" s="114">
        <v>635</v>
      </c>
      <c r="B646" s="174" t="s">
        <v>1327</v>
      </c>
      <c r="C646" s="120" t="s">
        <v>959</v>
      </c>
      <c r="D646" s="88"/>
      <c r="E646" s="88"/>
      <c r="F646" s="120" t="s">
        <v>958</v>
      </c>
      <c r="G646" s="25" t="s">
        <v>145</v>
      </c>
      <c r="H646" s="85" t="s">
        <v>146</v>
      </c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116">
        <v>72.040000000000006</v>
      </c>
      <c r="V646" s="120">
        <v>82.85</v>
      </c>
      <c r="W646" s="120">
        <v>16.32</v>
      </c>
      <c r="X646" s="120" t="s">
        <v>207</v>
      </c>
      <c r="Y646" s="120">
        <v>12.56</v>
      </c>
      <c r="Z646" s="120" t="s">
        <v>207</v>
      </c>
      <c r="AA646" s="120">
        <v>11.29</v>
      </c>
      <c r="AB646" s="120" t="s">
        <v>207</v>
      </c>
      <c r="AC646" s="120">
        <v>7.38</v>
      </c>
      <c r="AD646" s="120" t="s">
        <v>207</v>
      </c>
      <c r="AE646" s="120">
        <v>2.41</v>
      </c>
      <c r="AF646" s="120" t="s">
        <v>207</v>
      </c>
      <c r="AG646" s="120">
        <v>0</v>
      </c>
      <c r="AH646" s="120" t="s">
        <v>207</v>
      </c>
      <c r="AI646" s="120">
        <v>0</v>
      </c>
      <c r="AJ646" s="118" t="s">
        <v>207</v>
      </c>
      <c r="AK646" s="120">
        <v>0</v>
      </c>
      <c r="AL646" s="118" t="s">
        <v>207</v>
      </c>
      <c r="AM646" s="120">
        <v>0</v>
      </c>
      <c r="AN646" s="118" t="s">
        <v>207</v>
      </c>
      <c r="AO646" s="120">
        <v>4.3899999999999997</v>
      </c>
      <c r="AP646" s="120" t="s">
        <v>207</v>
      </c>
      <c r="AQ646" s="120">
        <v>8.0500000000000007</v>
      </c>
      <c r="AR646" s="120" t="s">
        <v>207</v>
      </c>
      <c r="AS646" s="120">
        <v>9.64</v>
      </c>
      <c r="AT646" s="120" t="s">
        <v>207</v>
      </c>
      <c r="AU646" s="118">
        <f t="shared" si="31"/>
        <v>72.040000000000006</v>
      </c>
      <c r="AV646" s="88"/>
      <c r="AW646" s="88"/>
      <c r="AX646" s="88"/>
      <c r="AY646" s="88"/>
      <c r="AZ646" s="88"/>
    </row>
    <row r="647" spans="1:52" s="90" customFormat="1" ht="15" customHeight="1" x14ac:dyDescent="0.3">
      <c r="A647" s="114">
        <v>636</v>
      </c>
      <c r="B647" s="174" t="s">
        <v>1328</v>
      </c>
      <c r="C647" s="120" t="s">
        <v>959</v>
      </c>
      <c r="D647" s="88"/>
      <c r="E647" s="88"/>
      <c r="F647" s="120" t="s">
        <v>958</v>
      </c>
      <c r="G647" s="25" t="s">
        <v>145</v>
      </c>
      <c r="H647" s="85" t="s">
        <v>146</v>
      </c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116">
        <v>831.76</v>
      </c>
      <c r="V647" s="120">
        <v>943.19</v>
      </c>
      <c r="W647" s="120">
        <v>136.46</v>
      </c>
      <c r="X647" s="120" t="s">
        <v>207</v>
      </c>
      <c r="Y647" s="120">
        <v>162.58000000000001</v>
      </c>
      <c r="Z647" s="120" t="s">
        <v>207</v>
      </c>
      <c r="AA647" s="120">
        <v>120.18</v>
      </c>
      <c r="AB647" s="120" t="s">
        <v>207</v>
      </c>
      <c r="AC647" s="120">
        <v>91.87</v>
      </c>
      <c r="AD647" s="120" t="s">
        <v>207</v>
      </c>
      <c r="AE647" s="120">
        <v>38.58</v>
      </c>
      <c r="AF647" s="120" t="s">
        <v>207</v>
      </c>
      <c r="AG647" s="120">
        <v>0</v>
      </c>
      <c r="AH647" s="120" t="s">
        <v>207</v>
      </c>
      <c r="AI647" s="120">
        <v>0</v>
      </c>
      <c r="AJ647" s="118" t="s">
        <v>207</v>
      </c>
      <c r="AK647" s="120">
        <v>0</v>
      </c>
      <c r="AL647" s="118" t="s">
        <v>207</v>
      </c>
      <c r="AM647" s="120">
        <v>7.25</v>
      </c>
      <c r="AN647" s="118" t="s">
        <v>207</v>
      </c>
      <c r="AO647" s="120">
        <v>74.12</v>
      </c>
      <c r="AP647" s="120" t="s">
        <v>207</v>
      </c>
      <c r="AQ647" s="120">
        <v>96.53</v>
      </c>
      <c r="AR647" s="120" t="s">
        <v>207</v>
      </c>
      <c r="AS647" s="120">
        <v>104.19</v>
      </c>
      <c r="AT647" s="120" t="s">
        <v>207</v>
      </c>
      <c r="AU647" s="118">
        <f t="shared" si="31"/>
        <v>831.76</v>
      </c>
      <c r="AV647" s="88"/>
      <c r="AW647" s="88"/>
      <c r="AX647" s="88"/>
      <c r="AY647" s="88"/>
      <c r="AZ647" s="88"/>
    </row>
    <row r="648" spans="1:52" s="90" customFormat="1" ht="15" customHeight="1" x14ac:dyDescent="0.3">
      <c r="A648" s="114">
        <v>637</v>
      </c>
      <c r="B648" s="174" t="s">
        <v>1329</v>
      </c>
      <c r="C648" s="120" t="s">
        <v>959</v>
      </c>
      <c r="D648" s="88"/>
      <c r="E648" s="88"/>
      <c r="F648" s="120" t="s">
        <v>958</v>
      </c>
      <c r="G648" s="25" t="s">
        <v>145</v>
      </c>
      <c r="H648" s="85" t="s">
        <v>146</v>
      </c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116"/>
      <c r="V648" s="120"/>
      <c r="W648" s="120">
        <v>76.52</v>
      </c>
      <c r="X648" s="120" t="s">
        <v>207</v>
      </c>
      <c r="Y648" s="120">
        <v>58.9</v>
      </c>
      <c r="Z648" s="120" t="s">
        <v>207</v>
      </c>
      <c r="AA648" s="120">
        <v>52.92</v>
      </c>
      <c r="AB648" s="120" t="s">
        <v>207</v>
      </c>
      <c r="AC648" s="120">
        <v>34.700000000000003</v>
      </c>
      <c r="AD648" s="120" t="s">
        <v>207</v>
      </c>
      <c r="AE648" s="120">
        <v>11.35</v>
      </c>
      <c r="AF648" s="120" t="s">
        <v>207</v>
      </c>
      <c r="AG648" s="120">
        <v>0</v>
      </c>
      <c r="AH648" s="120" t="s">
        <v>207</v>
      </c>
      <c r="AI648" s="120">
        <v>0</v>
      </c>
      <c r="AJ648" s="118" t="s">
        <v>207</v>
      </c>
      <c r="AK648" s="120">
        <v>0</v>
      </c>
      <c r="AL648" s="118" t="s">
        <v>207</v>
      </c>
      <c r="AM648" s="120">
        <v>0</v>
      </c>
      <c r="AN648" s="118" t="s">
        <v>207</v>
      </c>
      <c r="AO648" s="120">
        <v>20.63</v>
      </c>
      <c r="AP648" s="120" t="s">
        <v>207</v>
      </c>
      <c r="AQ648" s="120">
        <v>37.840000000000003</v>
      </c>
      <c r="AR648" s="120" t="s">
        <v>207</v>
      </c>
      <c r="AS648" s="120">
        <v>45.34</v>
      </c>
      <c r="AT648" s="120" t="s">
        <v>207</v>
      </c>
      <c r="AU648" s="118">
        <f t="shared" si="31"/>
        <v>338.19999999999993</v>
      </c>
      <c r="AV648" s="88"/>
      <c r="AW648" s="88"/>
      <c r="AX648" s="88"/>
      <c r="AY648" s="88"/>
      <c r="AZ648" s="88"/>
    </row>
    <row r="649" spans="1:52" s="90" customFormat="1" ht="15" customHeight="1" x14ac:dyDescent="0.3">
      <c r="A649" s="114">
        <v>638</v>
      </c>
      <c r="B649" s="174" t="s">
        <v>1330</v>
      </c>
      <c r="C649" s="120" t="s">
        <v>959</v>
      </c>
      <c r="D649" s="88"/>
      <c r="E649" s="88"/>
      <c r="F649" s="120" t="s">
        <v>958</v>
      </c>
      <c r="G649" s="25" t="s">
        <v>145</v>
      </c>
      <c r="H649" s="85" t="s">
        <v>146</v>
      </c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116"/>
      <c r="V649" s="120"/>
      <c r="W649" s="120">
        <v>36.25</v>
      </c>
      <c r="X649" s="120" t="s">
        <v>207</v>
      </c>
      <c r="Y649" s="120">
        <v>27.87</v>
      </c>
      <c r="Z649" s="120" t="s">
        <v>207</v>
      </c>
      <c r="AA649" s="120">
        <v>25.02</v>
      </c>
      <c r="AB649" s="120" t="s">
        <v>207</v>
      </c>
      <c r="AC649" s="120">
        <v>16.55</v>
      </c>
      <c r="AD649" s="120" t="s">
        <v>207</v>
      </c>
      <c r="AE649" s="120">
        <v>5.42</v>
      </c>
      <c r="AF649" s="120" t="s">
        <v>207</v>
      </c>
      <c r="AG649" s="120">
        <v>0</v>
      </c>
      <c r="AH649" s="120" t="s">
        <v>207</v>
      </c>
      <c r="AI649" s="120">
        <v>0</v>
      </c>
      <c r="AJ649" s="118" t="s">
        <v>207</v>
      </c>
      <c r="AK649" s="120">
        <v>0</v>
      </c>
      <c r="AL649" s="118" t="s">
        <v>207</v>
      </c>
      <c r="AM649" s="120">
        <v>0</v>
      </c>
      <c r="AN649" s="118" t="s">
        <v>207</v>
      </c>
      <c r="AO649" s="120">
        <v>9.86</v>
      </c>
      <c r="AP649" s="120" t="s">
        <v>207</v>
      </c>
      <c r="AQ649" s="120">
        <v>18.04</v>
      </c>
      <c r="AR649" s="120" t="s">
        <v>207</v>
      </c>
      <c r="AS649" s="120">
        <v>21.63</v>
      </c>
      <c r="AT649" s="120" t="s">
        <v>207</v>
      </c>
      <c r="AU649" s="118">
        <f t="shared" si="31"/>
        <v>160.63999999999999</v>
      </c>
      <c r="AV649" s="88"/>
      <c r="AW649" s="88"/>
      <c r="AX649" s="88"/>
      <c r="AY649" s="88"/>
      <c r="AZ649" s="88"/>
    </row>
    <row r="650" spans="1:52" s="90" customFormat="1" ht="15" customHeight="1" x14ac:dyDescent="0.3">
      <c r="A650" s="114">
        <v>639</v>
      </c>
      <c r="B650" s="174" t="s">
        <v>1331</v>
      </c>
      <c r="C650" s="120" t="s">
        <v>959</v>
      </c>
      <c r="D650" s="88"/>
      <c r="E650" s="88"/>
      <c r="F650" s="120" t="s">
        <v>958</v>
      </c>
      <c r="G650" s="25" t="s">
        <v>145</v>
      </c>
      <c r="H650" s="85" t="s">
        <v>146</v>
      </c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116">
        <v>160.63999999999999</v>
      </c>
      <c r="V650" s="120">
        <v>183.66</v>
      </c>
      <c r="W650" s="120"/>
      <c r="X650" s="120" t="s">
        <v>207</v>
      </c>
      <c r="Y650" s="120"/>
      <c r="Z650" s="120" t="s">
        <v>207</v>
      </c>
      <c r="AA650" s="120"/>
      <c r="AB650" s="120" t="s">
        <v>207</v>
      </c>
      <c r="AC650" s="120"/>
      <c r="AD650" s="120" t="s">
        <v>207</v>
      </c>
      <c r="AE650" s="120"/>
      <c r="AF650" s="120" t="s">
        <v>207</v>
      </c>
      <c r="AG650" s="120"/>
      <c r="AH650" s="120" t="s">
        <v>207</v>
      </c>
      <c r="AI650" s="120"/>
      <c r="AJ650" s="118" t="s">
        <v>207</v>
      </c>
      <c r="AK650" s="120"/>
      <c r="AL650" s="118" t="s">
        <v>207</v>
      </c>
      <c r="AM650" s="120"/>
      <c r="AN650" s="118" t="s">
        <v>207</v>
      </c>
      <c r="AO650" s="120"/>
      <c r="AP650" s="120" t="s">
        <v>207</v>
      </c>
      <c r="AQ650" s="120"/>
      <c r="AR650" s="120" t="s">
        <v>207</v>
      </c>
      <c r="AS650" s="120"/>
      <c r="AT650" s="120" t="s">
        <v>207</v>
      </c>
      <c r="AU650" s="118">
        <f t="shared" si="31"/>
        <v>0</v>
      </c>
      <c r="AV650" s="88"/>
      <c r="AW650" s="88"/>
      <c r="AX650" s="88"/>
      <c r="AY650" s="88"/>
      <c r="AZ650" s="88"/>
    </row>
    <row r="651" spans="1:52" s="90" customFormat="1" ht="15" customHeight="1" x14ac:dyDescent="0.3">
      <c r="A651" s="114">
        <v>640</v>
      </c>
      <c r="B651" s="174" t="s">
        <v>1332</v>
      </c>
      <c r="C651" s="120" t="s">
        <v>959</v>
      </c>
      <c r="D651" s="88"/>
      <c r="E651" s="88"/>
      <c r="F651" s="120" t="s">
        <v>958</v>
      </c>
      <c r="G651" s="25" t="s">
        <v>145</v>
      </c>
      <c r="H651" s="85" t="s">
        <v>146</v>
      </c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116">
        <v>374.77</v>
      </c>
      <c r="V651" s="120">
        <v>447.21</v>
      </c>
      <c r="W651" s="120">
        <v>88.2</v>
      </c>
      <c r="X651" s="120" t="s">
        <v>207</v>
      </c>
      <c r="Y651" s="120">
        <v>67.849999999999994</v>
      </c>
      <c r="Z651" s="120" t="s">
        <v>207</v>
      </c>
      <c r="AA651" s="120">
        <v>60.96</v>
      </c>
      <c r="AB651" s="120" t="s">
        <v>207</v>
      </c>
      <c r="AC651" s="120">
        <v>0</v>
      </c>
      <c r="AD651" s="120" t="s">
        <v>207</v>
      </c>
      <c r="AE651" s="120">
        <v>13.69</v>
      </c>
      <c r="AF651" s="120" t="s">
        <v>207</v>
      </c>
      <c r="AG651" s="120">
        <v>0</v>
      </c>
      <c r="AH651" s="120" t="s">
        <v>207</v>
      </c>
      <c r="AI651" s="120">
        <v>0</v>
      </c>
      <c r="AJ651" s="118" t="s">
        <v>207</v>
      </c>
      <c r="AK651" s="120">
        <v>0</v>
      </c>
      <c r="AL651" s="118" t="s">
        <v>207</v>
      </c>
      <c r="AM651" s="120">
        <v>6.59</v>
      </c>
      <c r="AN651" s="118" t="s">
        <v>207</v>
      </c>
      <c r="AO651" s="120">
        <v>38.4</v>
      </c>
      <c r="AP651" s="120" t="s">
        <v>207</v>
      </c>
      <c r="AQ651" s="120">
        <v>45.12</v>
      </c>
      <c r="AR651" s="120" t="s">
        <v>207</v>
      </c>
      <c r="AS651" s="120">
        <v>53.96</v>
      </c>
      <c r="AT651" s="120" t="s">
        <v>207</v>
      </c>
      <c r="AU651" s="118">
        <f t="shared" si="31"/>
        <v>374.77</v>
      </c>
      <c r="AV651" s="88"/>
      <c r="AW651" s="88"/>
      <c r="AX651" s="88"/>
      <c r="AY651" s="88"/>
      <c r="AZ651" s="88"/>
    </row>
    <row r="652" spans="1:52" s="90" customFormat="1" ht="15" customHeight="1" x14ac:dyDescent="0.3">
      <c r="A652" s="114">
        <v>641</v>
      </c>
      <c r="B652" s="174" t="s">
        <v>1333</v>
      </c>
      <c r="C652" s="120" t="s">
        <v>804</v>
      </c>
      <c r="D652" s="88"/>
      <c r="E652" s="88"/>
      <c r="F652" s="120" t="s">
        <v>958</v>
      </c>
      <c r="G652" s="25" t="s">
        <v>145</v>
      </c>
      <c r="H652" s="85" t="s">
        <v>146</v>
      </c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116">
        <v>4868.05</v>
      </c>
      <c r="V652" s="120">
        <v>5902.01</v>
      </c>
      <c r="W652" s="120">
        <v>777.15</v>
      </c>
      <c r="X652" s="120" t="s">
        <v>207</v>
      </c>
      <c r="Y652" s="120">
        <v>613.66999999999996</v>
      </c>
      <c r="Z652" s="120" t="s">
        <v>207</v>
      </c>
      <c r="AA652" s="120">
        <v>815.62</v>
      </c>
      <c r="AB652" s="120" t="s">
        <v>207</v>
      </c>
      <c r="AC652" s="120">
        <v>463.75</v>
      </c>
      <c r="AD652" s="120" t="s">
        <v>207</v>
      </c>
      <c r="AE652" s="120">
        <v>165.99</v>
      </c>
      <c r="AF652" s="120" t="s">
        <v>207</v>
      </c>
      <c r="AG652" s="120">
        <v>83.87</v>
      </c>
      <c r="AH652" s="120" t="s">
        <v>207</v>
      </c>
      <c r="AI652" s="120">
        <v>72.41</v>
      </c>
      <c r="AJ652" s="118" t="s">
        <v>207</v>
      </c>
      <c r="AK652" s="120">
        <v>70.03</v>
      </c>
      <c r="AL652" s="118" t="s">
        <v>207</v>
      </c>
      <c r="AM652" s="120">
        <v>99.43</v>
      </c>
      <c r="AN652" s="118" t="s">
        <v>207</v>
      </c>
      <c r="AO652" s="120">
        <v>433.87</v>
      </c>
      <c r="AP652" s="120" t="s">
        <v>207</v>
      </c>
      <c r="AQ652" s="120">
        <v>544.20000000000005</v>
      </c>
      <c r="AR652" s="120" t="s">
        <v>207</v>
      </c>
      <c r="AS652" s="120">
        <v>649.97</v>
      </c>
      <c r="AT652" s="120" t="s">
        <v>207</v>
      </c>
      <c r="AU652" s="118">
        <f t="shared" si="31"/>
        <v>4789.96</v>
      </c>
      <c r="AV652" s="88"/>
      <c r="AW652" s="88"/>
      <c r="AX652" s="88"/>
      <c r="AY652" s="88"/>
      <c r="AZ652" s="88"/>
    </row>
    <row r="653" spans="1:52" s="90" customFormat="1" ht="15" customHeight="1" x14ac:dyDescent="0.3">
      <c r="A653" s="114">
        <v>642</v>
      </c>
      <c r="B653" s="174" t="s">
        <v>1334</v>
      </c>
      <c r="C653" s="120" t="s">
        <v>804</v>
      </c>
      <c r="D653" s="88"/>
      <c r="E653" s="88"/>
      <c r="F653" s="120" t="s">
        <v>958</v>
      </c>
      <c r="G653" s="25" t="s">
        <v>145</v>
      </c>
      <c r="H653" s="85" t="s">
        <v>146</v>
      </c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116">
        <v>475.25</v>
      </c>
      <c r="V653" s="120">
        <v>579.09</v>
      </c>
      <c r="W653" s="120">
        <v>54.17</v>
      </c>
      <c r="X653" s="120" t="s">
        <v>207</v>
      </c>
      <c r="Y653" s="120">
        <v>72.040000000000006</v>
      </c>
      <c r="Z653" s="120" t="s">
        <v>207</v>
      </c>
      <c r="AA653" s="120">
        <v>55.39</v>
      </c>
      <c r="AB653" s="120" t="s">
        <v>207</v>
      </c>
      <c r="AC653" s="120">
        <v>64.36</v>
      </c>
      <c r="AD653" s="120" t="s">
        <v>207</v>
      </c>
      <c r="AE653" s="120">
        <v>40.450000000000003</v>
      </c>
      <c r="AF653" s="120" t="s">
        <v>207</v>
      </c>
      <c r="AG653" s="120">
        <v>14.32</v>
      </c>
      <c r="AH653" s="120" t="s">
        <v>207</v>
      </c>
      <c r="AI653" s="120">
        <v>6.26</v>
      </c>
      <c r="AJ653" s="118" t="s">
        <v>207</v>
      </c>
      <c r="AK653" s="120">
        <v>5.57</v>
      </c>
      <c r="AL653" s="118" t="s">
        <v>207</v>
      </c>
      <c r="AM653" s="120">
        <v>5.2</v>
      </c>
      <c r="AN653" s="118" t="s">
        <v>207</v>
      </c>
      <c r="AO653" s="120">
        <v>7.19</v>
      </c>
      <c r="AP653" s="120" t="s">
        <v>207</v>
      </c>
      <c r="AQ653" s="120">
        <v>37.26</v>
      </c>
      <c r="AR653" s="120" t="s">
        <v>207</v>
      </c>
      <c r="AS653" s="120">
        <v>43.86</v>
      </c>
      <c r="AT653" s="120" t="s">
        <v>207</v>
      </c>
      <c r="AU653" s="118">
        <f t="shared" si="31"/>
        <v>406.07</v>
      </c>
      <c r="AV653" s="88"/>
      <c r="AW653" s="88"/>
      <c r="AX653" s="88"/>
      <c r="AY653" s="88"/>
      <c r="AZ653" s="88"/>
    </row>
    <row r="654" spans="1:52" s="90" customFormat="1" ht="15" customHeight="1" x14ac:dyDescent="0.3">
      <c r="A654" s="114">
        <v>643</v>
      </c>
      <c r="B654" s="174" t="s">
        <v>1335</v>
      </c>
      <c r="C654" s="120" t="s">
        <v>804</v>
      </c>
      <c r="D654" s="88"/>
      <c r="E654" s="88"/>
      <c r="F654" s="120" t="s">
        <v>958</v>
      </c>
      <c r="G654" s="25" t="s">
        <v>145</v>
      </c>
      <c r="H654" s="85" t="s">
        <v>146</v>
      </c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116">
        <v>1045.94</v>
      </c>
      <c r="V654" s="120">
        <v>1101.31</v>
      </c>
      <c r="W654" s="120">
        <v>194.76</v>
      </c>
      <c r="X654" s="120" t="s">
        <v>207</v>
      </c>
      <c r="Y654" s="120">
        <v>162.30000000000001</v>
      </c>
      <c r="Z654" s="120" t="s">
        <v>207</v>
      </c>
      <c r="AA654" s="120">
        <v>122.05</v>
      </c>
      <c r="AB654" s="120" t="s">
        <v>207</v>
      </c>
      <c r="AC654" s="120">
        <v>19.48</v>
      </c>
      <c r="AD654" s="120" t="s">
        <v>207</v>
      </c>
      <c r="AE654" s="120">
        <v>20.11</v>
      </c>
      <c r="AF654" s="120" t="s">
        <v>207</v>
      </c>
      <c r="AG654" s="120">
        <v>18.41</v>
      </c>
      <c r="AH654" s="120" t="s">
        <v>207</v>
      </c>
      <c r="AI654" s="120">
        <v>17.010000000000002</v>
      </c>
      <c r="AJ654" s="118" t="s">
        <v>207</v>
      </c>
      <c r="AK654" s="120">
        <v>47.63</v>
      </c>
      <c r="AL654" s="118" t="s">
        <v>207</v>
      </c>
      <c r="AM654" s="120">
        <v>138.12</v>
      </c>
      <c r="AN654" s="118" t="s">
        <v>207</v>
      </c>
      <c r="AO654" s="120">
        <v>124.31</v>
      </c>
      <c r="AP654" s="120" t="s">
        <v>207</v>
      </c>
      <c r="AQ654" s="120">
        <v>111.88</v>
      </c>
      <c r="AR654" s="120" t="s">
        <v>207</v>
      </c>
      <c r="AS654" s="120">
        <v>156.63</v>
      </c>
      <c r="AT654" s="120" t="s">
        <v>207</v>
      </c>
      <c r="AU654" s="118">
        <f t="shared" si="31"/>
        <v>1132.69</v>
      </c>
      <c r="AV654" s="88"/>
      <c r="AW654" s="88"/>
      <c r="AX654" s="88"/>
      <c r="AY654" s="88"/>
      <c r="AZ654" s="88"/>
    </row>
    <row r="655" spans="1:52" s="90" customFormat="1" ht="15" customHeight="1" x14ac:dyDescent="0.3">
      <c r="A655" s="114">
        <v>644</v>
      </c>
      <c r="B655" s="174" t="s">
        <v>1336</v>
      </c>
      <c r="C655" s="120" t="s">
        <v>804</v>
      </c>
      <c r="D655" s="88"/>
      <c r="E655" s="88"/>
      <c r="F655" s="120" t="s">
        <v>958</v>
      </c>
      <c r="G655" s="25" t="s">
        <v>145</v>
      </c>
      <c r="H655" s="85" t="s">
        <v>146</v>
      </c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116"/>
      <c r="V655" s="120"/>
      <c r="W655" s="120"/>
      <c r="X655" s="120" t="s">
        <v>207</v>
      </c>
      <c r="Y655" s="120"/>
      <c r="Z655" s="120" t="s">
        <v>207</v>
      </c>
      <c r="AA655" s="120"/>
      <c r="AB655" s="120" t="s">
        <v>207</v>
      </c>
      <c r="AC655" s="120"/>
      <c r="AD655" s="120" t="s">
        <v>207</v>
      </c>
      <c r="AE655" s="120"/>
      <c r="AF655" s="120" t="s">
        <v>207</v>
      </c>
      <c r="AG655" s="120"/>
      <c r="AH655" s="120" t="s">
        <v>207</v>
      </c>
      <c r="AI655" s="120"/>
      <c r="AJ655" s="118" t="s">
        <v>207</v>
      </c>
      <c r="AK655" s="120"/>
      <c r="AL655" s="118" t="s">
        <v>207</v>
      </c>
      <c r="AM655" s="120"/>
      <c r="AN655" s="118" t="s">
        <v>207</v>
      </c>
      <c r="AO655" s="120"/>
      <c r="AP655" s="120" t="s">
        <v>207</v>
      </c>
      <c r="AQ655" s="120"/>
      <c r="AR655" s="120" t="s">
        <v>207</v>
      </c>
      <c r="AS655" s="120"/>
      <c r="AT655" s="120" t="s">
        <v>207</v>
      </c>
      <c r="AU655" s="118">
        <f t="shared" si="31"/>
        <v>0</v>
      </c>
      <c r="AV655" s="88"/>
      <c r="AW655" s="88"/>
      <c r="AX655" s="88"/>
      <c r="AY655" s="88"/>
      <c r="AZ655" s="88"/>
    </row>
    <row r="656" spans="1:52" s="90" customFormat="1" ht="15" customHeight="1" x14ac:dyDescent="0.3">
      <c r="A656" s="114">
        <v>645</v>
      </c>
      <c r="B656" s="174" t="s">
        <v>1337</v>
      </c>
      <c r="C656" s="120" t="s">
        <v>804</v>
      </c>
      <c r="D656" s="88"/>
      <c r="E656" s="88"/>
      <c r="F656" s="120" t="s">
        <v>958</v>
      </c>
      <c r="G656" s="25" t="s">
        <v>145</v>
      </c>
      <c r="H656" s="85" t="s">
        <v>146</v>
      </c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116">
        <v>401.17</v>
      </c>
      <c r="V656" s="120">
        <v>519.27</v>
      </c>
      <c r="W656" s="120">
        <v>66.05</v>
      </c>
      <c r="X656" s="120" t="s">
        <v>207</v>
      </c>
      <c r="Y656" s="120">
        <v>54.1</v>
      </c>
      <c r="Z656" s="120" t="s">
        <v>207</v>
      </c>
      <c r="AA656" s="120">
        <v>66.930000000000007</v>
      </c>
      <c r="AB656" s="120" t="s">
        <v>207</v>
      </c>
      <c r="AC656" s="120">
        <v>41.49</v>
      </c>
      <c r="AD656" s="120" t="s">
        <v>207</v>
      </c>
      <c r="AE656" s="120">
        <v>24.64</v>
      </c>
      <c r="AF656" s="120" t="s">
        <v>207</v>
      </c>
      <c r="AG656" s="120">
        <v>14.77</v>
      </c>
      <c r="AH656" s="120" t="s">
        <v>207</v>
      </c>
      <c r="AI656" s="120">
        <v>14.35</v>
      </c>
      <c r="AJ656" s="118" t="s">
        <v>207</v>
      </c>
      <c r="AK656" s="120">
        <v>15.02</v>
      </c>
      <c r="AL656" s="118" t="s">
        <v>207</v>
      </c>
      <c r="AM656" s="120">
        <v>17.09</v>
      </c>
      <c r="AN656" s="118" t="s">
        <v>207</v>
      </c>
      <c r="AO656" s="120">
        <v>40.700000000000003</v>
      </c>
      <c r="AP656" s="120" t="s">
        <v>207</v>
      </c>
      <c r="AQ656" s="120">
        <v>43.03</v>
      </c>
      <c r="AR656" s="120" t="s">
        <v>207</v>
      </c>
      <c r="AS656" s="120">
        <v>50.81</v>
      </c>
      <c r="AT656" s="120" t="s">
        <v>207</v>
      </c>
      <c r="AU656" s="118">
        <f t="shared" si="31"/>
        <v>448.97999999999996</v>
      </c>
      <c r="AV656" s="88"/>
      <c r="AW656" s="88"/>
      <c r="AX656" s="88"/>
      <c r="AY656" s="88"/>
      <c r="AZ656" s="88"/>
    </row>
    <row r="657" spans="1:52" s="90" customFormat="1" ht="15" customHeight="1" x14ac:dyDescent="0.3">
      <c r="A657" s="114">
        <v>646</v>
      </c>
      <c r="B657" s="174" t="s">
        <v>1338</v>
      </c>
      <c r="C657" s="120" t="s">
        <v>804</v>
      </c>
      <c r="D657" s="88"/>
      <c r="E657" s="88"/>
      <c r="F657" s="120" t="s">
        <v>958</v>
      </c>
      <c r="G657" s="25" t="s">
        <v>145</v>
      </c>
      <c r="H657" s="85" t="s">
        <v>146</v>
      </c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116">
        <v>3394.57</v>
      </c>
      <c r="V657" s="120">
        <v>3401.2</v>
      </c>
      <c r="W657" s="120">
        <v>501.47</v>
      </c>
      <c r="X657" s="120" t="s">
        <v>207</v>
      </c>
      <c r="Y657" s="120">
        <v>417.89</v>
      </c>
      <c r="Z657" s="120" t="s">
        <v>207</v>
      </c>
      <c r="AA657" s="120">
        <v>377.64</v>
      </c>
      <c r="AB657" s="120" t="s">
        <v>207</v>
      </c>
      <c r="AC657" s="120">
        <v>377.64</v>
      </c>
      <c r="AD657" s="120" t="s">
        <v>207</v>
      </c>
      <c r="AE657" s="120">
        <v>77.7</v>
      </c>
      <c r="AF657" s="120" t="s">
        <v>207</v>
      </c>
      <c r="AG657" s="120">
        <v>69.02</v>
      </c>
      <c r="AH657" s="120" t="s">
        <v>207</v>
      </c>
      <c r="AI657" s="120">
        <v>67.319999999999993</v>
      </c>
      <c r="AJ657" s="118" t="s">
        <v>207</v>
      </c>
      <c r="AK657" s="120">
        <v>65.92</v>
      </c>
      <c r="AL657" s="118" t="s">
        <v>207</v>
      </c>
      <c r="AM657" s="120">
        <v>184.58</v>
      </c>
      <c r="AN657" s="118" t="s">
        <v>207</v>
      </c>
      <c r="AO657" s="120">
        <v>535.27</v>
      </c>
      <c r="AP657" s="120" t="s">
        <v>207</v>
      </c>
      <c r="AQ657" s="120">
        <v>481.74</v>
      </c>
      <c r="AR657" s="120" t="s">
        <v>207</v>
      </c>
      <c r="AS657" s="120">
        <v>433.57</v>
      </c>
      <c r="AT657" s="120" t="s">
        <v>207</v>
      </c>
      <c r="AU657" s="118">
        <f t="shared" si="31"/>
        <v>3589.7599999999998</v>
      </c>
      <c r="AV657" s="88"/>
      <c r="AW657" s="88"/>
      <c r="AX657" s="88"/>
      <c r="AY657" s="88"/>
      <c r="AZ657" s="88"/>
    </row>
    <row r="658" spans="1:52" s="90" customFormat="1" ht="15" customHeight="1" x14ac:dyDescent="0.3">
      <c r="A658" s="114">
        <v>647</v>
      </c>
      <c r="B658" s="174" t="s">
        <v>1339</v>
      </c>
      <c r="C658" s="120" t="s">
        <v>804</v>
      </c>
      <c r="D658" s="88"/>
      <c r="E658" s="88"/>
      <c r="F658" s="120" t="s">
        <v>958</v>
      </c>
      <c r="G658" s="25" t="s">
        <v>145</v>
      </c>
      <c r="H658" s="85" t="s">
        <v>146</v>
      </c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116">
        <v>5364.15</v>
      </c>
      <c r="V658" s="120">
        <v>6280.28</v>
      </c>
      <c r="W658" s="120">
        <v>565.6</v>
      </c>
      <c r="X658" s="120" t="s">
        <v>207</v>
      </c>
      <c r="Y658" s="120">
        <v>559.78</v>
      </c>
      <c r="Z658" s="120" t="s">
        <v>207</v>
      </c>
      <c r="AA658" s="120">
        <v>570.75</v>
      </c>
      <c r="AB658" s="120" t="s">
        <v>207</v>
      </c>
      <c r="AC658" s="120">
        <v>526.75</v>
      </c>
      <c r="AD658" s="120" t="s">
        <v>207</v>
      </c>
      <c r="AE658" s="120">
        <v>152.32</v>
      </c>
      <c r="AF658" s="120" t="s">
        <v>207</v>
      </c>
      <c r="AG658" s="120">
        <v>93.49</v>
      </c>
      <c r="AH658" s="120" t="s">
        <v>207</v>
      </c>
      <c r="AI658" s="120">
        <v>75.98</v>
      </c>
      <c r="AJ658" s="118" t="s">
        <v>207</v>
      </c>
      <c r="AK658" s="120">
        <v>69.95</v>
      </c>
      <c r="AL658" s="118" t="s">
        <v>207</v>
      </c>
      <c r="AM658" s="120">
        <v>74.64</v>
      </c>
      <c r="AN658" s="118" t="s">
        <v>207</v>
      </c>
      <c r="AO658" s="120">
        <v>525.95000000000005</v>
      </c>
      <c r="AP658" s="120" t="s">
        <v>207</v>
      </c>
      <c r="AQ658" s="120">
        <v>342.4</v>
      </c>
      <c r="AR658" s="120" t="s">
        <v>207</v>
      </c>
      <c r="AS658" s="120">
        <v>461.23</v>
      </c>
      <c r="AT658" s="120" t="s">
        <v>207</v>
      </c>
      <c r="AU658" s="118">
        <f t="shared" si="31"/>
        <v>4018.84</v>
      </c>
      <c r="AV658" s="88"/>
      <c r="AW658" s="88"/>
      <c r="AX658" s="88"/>
      <c r="AY658" s="88"/>
      <c r="AZ658" s="88"/>
    </row>
    <row r="659" spans="1:52" s="3" customFormat="1" ht="15" customHeight="1" x14ac:dyDescent="0.3">
      <c r="A659" s="114">
        <v>648</v>
      </c>
      <c r="B659" s="174" t="s">
        <v>1340</v>
      </c>
      <c r="C659" s="11" t="s">
        <v>1619</v>
      </c>
      <c r="D659" s="11" t="s">
        <v>288</v>
      </c>
      <c r="E659" s="29" t="s">
        <v>205</v>
      </c>
      <c r="F659" s="11" t="s">
        <v>1620</v>
      </c>
      <c r="G659" s="25" t="s">
        <v>145</v>
      </c>
      <c r="H659" s="23" t="s">
        <v>146</v>
      </c>
      <c r="I659" s="23">
        <v>1</v>
      </c>
      <c r="J659" s="23" t="s">
        <v>205</v>
      </c>
      <c r="K659" s="23">
        <v>80</v>
      </c>
      <c r="L659" s="23" t="s">
        <v>1621</v>
      </c>
      <c r="M659" s="23" t="s">
        <v>211</v>
      </c>
      <c r="N659" s="122" t="s">
        <v>218</v>
      </c>
      <c r="O659" s="23"/>
      <c r="P659" s="132" t="s">
        <v>218</v>
      </c>
      <c r="Q659" s="314"/>
      <c r="R659" s="23" t="s">
        <v>1622</v>
      </c>
      <c r="S659" s="23"/>
      <c r="T659" s="23"/>
      <c r="U659" s="354">
        <v>381.6</v>
      </c>
      <c r="V659" s="23">
        <v>398.79</v>
      </c>
      <c r="W659" s="29">
        <v>77.819999999999993</v>
      </c>
      <c r="X659" s="131" t="s">
        <v>207</v>
      </c>
      <c r="Y659" s="11">
        <v>71.63</v>
      </c>
      <c r="Z659" s="131" t="s">
        <v>207</v>
      </c>
      <c r="AA659" s="11">
        <v>69.55</v>
      </c>
      <c r="AB659" s="131" t="s">
        <v>207</v>
      </c>
      <c r="AC659" s="11">
        <v>55.62</v>
      </c>
      <c r="AD659" s="131" t="s">
        <v>207</v>
      </c>
      <c r="AE659" s="11">
        <v>19.61</v>
      </c>
      <c r="AF659" s="131" t="s">
        <v>207</v>
      </c>
      <c r="AG659" s="325">
        <v>0</v>
      </c>
      <c r="AH659" s="326"/>
      <c r="AI659" s="325">
        <v>0</v>
      </c>
      <c r="AJ659" s="326"/>
      <c r="AK659" s="325">
        <v>0</v>
      </c>
      <c r="AL659" s="326"/>
      <c r="AM659" s="325">
        <v>0</v>
      </c>
      <c r="AN659" s="326"/>
      <c r="AO659" s="11">
        <v>27.85</v>
      </c>
      <c r="AP659" s="131" t="s">
        <v>207</v>
      </c>
      <c r="AQ659" s="11">
        <v>43.5</v>
      </c>
      <c r="AR659" s="131" t="s">
        <v>207</v>
      </c>
      <c r="AS659" s="11">
        <v>54.09</v>
      </c>
      <c r="AT659" s="131" t="s">
        <v>207</v>
      </c>
      <c r="AU659" s="11">
        <f>W659+Y659+AA659+AC659+AE659+AO659+AQ659+AS659</f>
        <v>419.67000000000007</v>
      </c>
      <c r="AV659" s="29" t="s">
        <v>1623</v>
      </c>
      <c r="AW659" s="23" t="s">
        <v>211</v>
      </c>
      <c r="AX659" s="23" t="s">
        <v>208</v>
      </c>
      <c r="AY659" s="29">
        <v>1</v>
      </c>
      <c r="AZ659" s="29"/>
    </row>
    <row r="660" spans="1:52" s="3" customFormat="1" ht="15" customHeight="1" x14ac:dyDescent="0.3">
      <c r="A660" s="114">
        <v>649</v>
      </c>
      <c r="B660" s="174" t="s">
        <v>1341</v>
      </c>
      <c r="C660" s="11" t="s">
        <v>1619</v>
      </c>
      <c r="D660" s="11" t="s">
        <v>288</v>
      </c>
      <c r="E660" s="29" t="s">
        <v>205</v>
      </c>
      <c r="F660" s="11" t="s">
        <v>1620</v>
      </c>
      <c r="G660" s="25" t="s">
        <v>145</v>
      </c>
      <c r="H660" s="23" t="s">
        <v>146</v>
      </c>
      <c r="I660" s="23">
        <v>1</v>
      </c>
      <c r="J660" s="23" t="s">
        <v>205</v>
      </c>
      <c r="K660" s="23">
        <v>100</v>
      </c>
      <c r="L660" s="23" t="s">
        <v>1621</v>
      </c>
      <c r="M660" s="23" t="s">
        <v>211</v>
      </c>
      <c r="N660" s="122" t="s">
        <v>218</v>
      </c>
      <c r="O660" s="23"/>
      <c r="P660" s="132" t="s">
        <v>218</v>
      </c>
      <c r="Q660" s="314"/>
      <c r="R660" s="23" t="s">
        <v>1622</v>
      </c>
      <c r="S660" s="23"/>
      <c r="T660" s="23"/>
      <c r="U660" s="354">
        <v>774.06</v>
      </c>
      <c r="V660" s="23">
        <v>836.56</v>
      </c>
      <c r="W660" s="29">
        <v>157.37</v>
      </c>
      <c r="X660" s="131" t="s">
        <v>207</v>
      </c>
      <c r="Y660" s="11">
        <v>143.79</v>
      </c>
      <c r="Z660" s="131" t="s">
        <v>207</v>
      </c>
      <c r="AA660" s="11">
        <v>142.74</v>
      </c>
      <c r="AB660" s="131" t="s">
        <v>207</v>
      </c>
      <c r="AC660" s="11">
        <v>113.55</v>
      </c>
      <c r="AD660" s="131" t="s">
        <v>207</v>
      </c>
      <c r="AE660" s="11">
        <v>46.9</v>
      </c>
      <c r="AF660" s="131" t="s">
        <v>207</v>
      </c>
      <c r="AG660" s="325">
        <v>0</v>
      </c>
      <c r="AH660" s="326"/>
      <c r="AI660" s="325">
        <v>0</v>
      </c>
      <c r="AJ660" s="326"/>
      <c r="AK660" s="325">
        <v>0</v>
      </c>
      <c r="AL660" s="326"/>
      <c r="AM660" s="325">
        <v>0</v>
      </c>
      <c r="AN660" s="326"/>
      <c r="AO660" s="11">
        <v>68.94</v>
      </c>
      <c r="AP660" s="131" t="s">
        <v>207</v>
      </c>
      <c r="AQ660" s="11">
        <v>99.78</v>
      </c>
      <c r="AR660" s="131" t="s">
        <v>207</v>
      </c>
      <c r="AS660" s="11">
        <v>121.31</v>
      </c>
      <c r="AT660" s="131" t="s">
        <v>207</v>
      </c>
      <c r="AU660" s="11">
        <f t="shared" ref="AU660:AU723" si="32">W660+Y660+AA660+AC660+AE660+AO660+AQ660+AS660</f>
        <v>894.37999999999988</v>
      </c>
      <c r="AV660" s="29" t="s">
        <v>1624</v>
      </c>
      <c r="AW660" s="23" t="s">
        <v>211</v>
      </c>
      <c r="AX660" s="23" t="s">
        <v>208</v>
      </c>
      <c r="AY660" s="29">
        <v>1</v>
      </c>
      <c r="AZ660" s="29"/>
    </row>
    <row r="661" spans="1:52" s="3" customFormat="1" ht="15" customHeight="1" x14ac:dyDescent="0.3">
      <c r="A661" s="114">
        <v>650</v>
      </c>
      <c r="B661" s="174" t="s">
        <v>1342</v>
      </c>
      <c r="C661" s="11" t="s">
        <v>1619</v>
      </c>
      <c r="D661" s="11" t="s">
        <v>288</v>
      </c>
      <c r="E661" s="29" t="s">
        <v>205</v>
      </c>
      <c r="F661" s="11" t="s">
        <v>1620</v>
      </c>
      <c r="G661" s="25" t="s">
        <v>145</v>
      </c>
      <c r="H661" s="23" t="s">
        <v>146</v>
      </c>
      <c r="I661" s="23">
        <v>1</v>
      </c>
      <c r="J661" s="23" t="s">
        <v>205</v>
      </c>
      <c r="K661" s="23">
        <v>80</v>
      </c>
      <c r="L661" s="23" t="s">
        <v>1621</v>
      </c>
      <c r="M661" s="23" t="s">
        <v>211</v>
      </c>
      <c r="N661" s="122" t="s">
        <v>218</v>
      </c>
      <c r="O661" s="23"/>
      <c r="P661" s="132" t="s">
        <v>218</v>
      </c>
      <c r="Q661" s="314"/>
      <c r="R661" s="23" t="s">
        <v>1622</v>
      </c>
      <c r="S661" s="23"/>
      <c r="T661" s="23"/>
      <c r="U661" s="354">
        <v>385.8</v>
      </c>
      <c r="V661" s="23">
        <v>417.64</v>
      </c>
      <c r="W661" s="29">
        <v>88.94</v>
      </c>
      <c r="X661" s="131" t="s">
        <v>207</v>
      </c>
      <c r="Y661" s="11">
        <v>76.319999999999993</v>
      </c>
      <c r="Z661" s="131" t="s">
        <v>207</v>
      </c>
      <c r="AA661" s="11">
        <v>73.44</v>
      </c>
      <c r="AB661" s="131" t="s">
        <v>207</v>
      </c>
      <c r="AC661" s="11">
        <v>63.09</v>
      </c>
      <c r="AD661" s="131" t="s">
        <v>207</v>
      </c>
      <c r="AE661" s="11">
        <v>23.85</v>
      </c>
      <c r="AF661" s="131" t="s">
        <v>207</v>
      </c>
      <c r="AG661" s="325">
        <v>0</v>
      </c>
      <c r="AH661" s="326"/>
      <c r="AI661" s="325">
        <v>0</v>
      </c>
      <c r="AJ661" s="326"/>
      <c r="AK661" s="325">
        <v>0</v>
      </c>
      <c r="AL661" s="326"/>
      <c r="AM661" s="325">
        <v>0</v>
      </c>
      <c r="AN661" s="326"/>
      <c r="AO661" s="11">
        <v>33.770000000000003</v>
      </c>
      <c r="AP661" s="131" t="s">
        <v>207</v>
      </c>
      <c r="AQ661" s="11">
        <v>49.15</v>
      </c>
      <c r="AR661" s="131" t="s">
        <v>207</v>
      </c>
      <c r="AS661" s="11">
        <v>67.22</v>
      </c>
      <c r="AT661" s="131" t="s">
        <v>207</v>
      </c>
      <c r="AU661" s="11">
        <f t="shared" si="32"/>
        <v>475.78</v>
      </c>
      <c r="AV661" s="29" t="s">
        <v>1625</v>
      </c>
      <c r="AW661" s="23" t="s">
        <v>211</v>
      </c>
      <c r="AX661" s="23" t="s">
        <v>208</v>
      </c>
      <c r="AY661" s="29">
        <v>1</v>
      </c>
      <c r="AZ661" s="29"/>
    </row>
    <row r="662" spans="1:52" s="3" customFormat="1" ht="15" customHeight="1" x14ac:dyDescent="0.3">
      <c r="A662" s="114">
        <v>651</v>
      </c>
      <c r="B662" s="174" t="s">
        <v>1343</v>
      </c>
      <c r="C662" s="11" t="s">
        <v>1619</v>
      </c>
      <c r="D662" s="11" t="s">
        <v>288</v>
      </c>
      <c r="E662" s="29" t="s">
        <v>205</v>
      </c>
      <c r="F662" s="11" t="s">
        <v>1620</v>
      </c>
      <c r="G662" s="25" t="s">
        <v>145</v>
      </c>
      <c r="H662" s="23" t="s">
        <v>146</v>
      </c>
      <c r="I662" s="23">
        <v>1</v>
      </c>
      <c r="J662" s="23" t="s">
        <v>205</v>
      </c>
      <c r="K662" s="23">
        <v>100</v>
      </c>
      <c r="L662" s="23" t="s">
        <v>1621</v>
      </c>
      <c r="M662" s="23" t="s">
        <v>211</v>
      </c>
      <c r="N662" s="122" t="s">
        <v>218</v>
      </c>
      <c r="O662" s="23"/>
      <c r="P662" s="132" t="s">
        <v>218</v>
      </c>
      <c r="Q662" s="314"/>
      <c r="R662" s="23" t="s">
        <v>1622</v>
      </c>
      <c r="S662" s="23"/>
      <c r="T662" s="23"/>
      <c r="U662" s="354">
        <v>1150.3800000000001</v>
      </c>
      <c r="V662" s="23">
        <v>1262.69</v>
      </c>
      <c r="W662" s="29">
        <v>149.80000000000001</v>
      </c>
      <c r="X662" s="327" t="s">
        <v>449</v>
      </c>
      <c r="Y662" s="29">
        <v>149.80000000000001</v>
      </c>
      <c r="Z662" s="327" t="s">
        <v>449</v>
      </c>
      <c r="AA662" s="151">
        <v>149.80000000000001</v>
      </c>
      <c r="AB662" s="131" t="s">
        <v>449</v>
      </c>
      <c r="AC662" s="11">
        <v>160.71</v>
      </c>
      <c r="AD662" s="131" t="s">
        <v>449</v>
      </c>
      <c r="AE662" s="11">
        <v>72.59</v>
      </c>
      <c r="AF662" s="131" t="s">
        <v>207</v>
      </c>
      <c r="AG662" s="325">
        <v>0</v>
      </c>
      <c r="AH662" s="326"/>
      <c r="AI662" s="325">
        <v>0</v>
      </c>
      <c r="AJ662" s="326"/>
      <c r="AK662" s="325">
        <v>0</v>
      </c>
      <c r="AL662" s="326"/>
      <c r="AM662" s="325">
        <v>0</v>
      </c>
      <c r="AN662" s="326"/>
      <c r="AO662" s="11">
        <v>97.52</v>
      </c>
      <c r="AP662" s="131" t="s">
        <v>207</v>
      </c>
      <c r="AQ662" s="11">
        <v>134.47</v>
      </c>
      <c r="AR662" s="131" t="s">
        <v>207</v>
      </c>
      <c r="AS662" s="11">
        <v>172.09</v>
      </c>
      <c r="AT662" s="131" t="s">
        <v>207</v>
      </c>
      <c r="AU662" s="11">
        <f t="shared" si="32"/>
        <v>1086.78</v>
      </c>
      <c r="AV662" s="29" t="s">
        <v>1626</v>
      </c>
      <c r="AW662" s="23" t="s">
        <v>211</v>
      </c>
      <c r="AX662" s="23" t="s">
        <v>208</v>
      </c>
      <c r="AY662" s="29">
        <v>1</v>
      </c>
      <c r="AZ662" s="29"/>
    </row>
    <row r="663" spans="1:52" ht="15" customHeight="1" x14ac:dyDescent="0.3">
      <c r="A663" s="114">
        <v>652</v>
      </c>
      <c r="B663" s="174" t="s">
        <v>1344</v>
      </c>
      <c r="C663" s="11" t="s">
        <v>1619</v>
      </c>
      <c r="D663" s="11" t="s">
        <v>288</v>
      </c>
      <c r="E663" s="29" t="s">
        <v>205</v>
      </c>
      <c r="F663" s="11" t="s">
        <v>1620</v>
      </c>
      <c r="G663" s="25" t="s">
        <v>145</v>
      </c>
      <c r="H663" s="23" t="s">
        <v>146</v>
      </c>
      <c r="I663" s="24">
        <v>1</v>
      </c>
      <c r="J663" s="23" t="s">
        <v>205</v>
      </c>
      <c r="K663" s="23">
        <v>100</v>
      </c>
      <c r="L663" s="23" t="s">
        <v>1621</v>
      </c>
      <c r="M663" s="23" t="s">
        <v>211</v>
      </c>
      <c r="N663" s="122" t="s">
        <v>218</v>
      </c>
      <c r="O663" s="23"/>
      <c r="P663" s="132" t="s">
        <v>218</v>
      </c>
      <c r="Q663" s="23"/>
      <c r="R663" s="23" t="s">
        <v>1622</v>
      </c>
      <c r="S663" s="23"/>
      <c r="T663" s="23"/>
      <c r="U663" s="354">
        <v>767.67</v>
      </c>
      <c r="V663" s="24">
        <v>886.86</v>
      </c>
      <c r="W663" s="24">
        <v>170.78</v>
      </c>
      <c r="X663" s="131" t="s">
        <v>207</v>
      </c>
      <c r="Y663" s="12">
        <v>149.44999999999999</v>
      </c>
      <c r="Z663" s="133" t="s">
        <v>207</v>
      </c>
      <c r="AA663" s="12">
        <v>140.61000000000001</v>
      </c>
      <c r="AB663" s="133" t="s">
        <v>207</v>
      </c>
      <c r="AC663" s="12">
        <v>113.97</v>
      </c>
      <c r="AD663" s="131" t="s">
        <v>207</v>
      </c>
      <c r="AE663" s="12">
        <v>38.46</v>
      </c>
      <c r="AF663" s="131" t="s">
        <v>207</v>
      </c>
      <c r="AG663" s="325">
        <v>0</v>
      </c>
      <c r="AH663" s="328"/>
      <c r="AI663" s="325">
        <v>0</v>
      </c>
      <c r="AJ663" s="328"/>
      <c r="AK663" s="325">
        <v>0</v>
      </c>
      <c r="AL663" s="328"/>
      <c r="AM663" s="325">
        <v>0</v>
      </c>
      <c r="AN663" s="328"/>
      <c r="AO663" s="12">
        <v>66.91</v>
      </c>
      <c r="AP663" s="131" t="s">
        <v>207</v>
      </c>
      <c r="AQ663" s="12">
        <v>85.26</v>
      </c>
      <c r="AR663" s="131" t="s">
        <v>207</v>
      </c>
      <c r="AS663" s="12">
        <v>128.06</v>
      </c>
      <c r="AT663" s="131" t="s">
        <v>207</v>
      </c>
      <c r="AU663" s="11">
        <f t="shared" si="32"/>
        <v>893.5</v>
      </c>
      <c r="AV663" s="24" t="s">
        <v>1627</v>
      </c>
      <c r="AW663" s="23" t="s">
        <v>211</v>
      </c>
      <c r="AX663" s="23" t="s">
        <v>208</v>
      </c>
      <c r="AY663" s="29">
        <v>1</v>
      </c>
      <c r="AZ663" s="24"/>
    </row>
    <row r="664" spans="1:52" ht="15" customHeight="1" x14ac:dyDescent="0.3">
      <c r="A664" s="114">
        <v>653</v>
      </c>
      <c r="B664" s="174" t="s">
        <v>1345</v>
      </c>
      <c r="C664" s="11" t="s">
        <v>1619</v>
      </c>
      <c r="D664" s="11" t="s">
        <v>288</v>
      </c>
      <c r="E664" s="29" t="s">
        <v>205</v>
      </c>
      <c r="F664" s="11" t="s">
        <v>1620</v>
      </c>
      <c r="G664" s="25" t="s">
        <v>145</v>
      </c>
      <c r="H664" s="23" t="s">
        <v>146</v>
      </c>
      <c r="I664" s="24">
        <v>1</v>
      </c>
      <c r="J664" s="23" t="s">
        <v>205</v>
      </c>
      <c r="K664" s="23">
        <v>100</v>
      </c>
      <c r="L664" s="23" t="s">
        <v>1621</v>
      </c>
      <c r="M664" s="23" t="s">
        <v>211</v>
      </c>
      <c r="N664" s="122" t="s">
        <v>218</v>
      </c>
      <c r="O664" s="23"/>
      <c r="P664" s="132" t="s">
        <v>218</v>
      </c>
      <c r="Q664" s="23"/>
      <c r="R664" s="23" t="s">
        <v>1622</v>
      </c>
      <c r="S664" s="23"/>
      <c r="T664" s="23"/>
      <c r="U664" s="354">
        <v>1151.0899999999999</v>
      </c>
      <c r="V664" s="24">
        <v>1294.3800000000001</v>
      </c>
      <c r="W664" s="24">
        <v>249.45</v>
      </c>
      <c r="X664" s="131" t="s">
        <v>207</v>
      </c>
      <c r="Y664" s="12">
        <v>218.71</v>
      </c>
      <c r="Z664" s="133" t="s">
        <v>207</v>
      </c>
      <c r="AA664" s="12">
        <v>212.12</v>
      </c>
      <c r="AB664" s="133" t="s">
        <v>207</v>
      </c>
      <c r="AC664" s="12">
        <v>183.6</v>
      </c>
      <c r="AD664" s="131" t="s">
        <v>207</v>
      </c>
      <c r="AE664" s="12">
        <v>52.65</v>
      </c>
      <c r="AF664" s="131" t="s">
        <v>207</v>
      </c>
      <c r="AG664" s="325">
        <v>0</v>
      </c>
      <c r="AH664" s="328"/>
      <c r="AI664" s="325">
        <v>0</v>
      </c>
      <c r="AJ664" s="328"/>
      <c r="AK664" s="325">
        <v>0</v>
      </c>
      <c r="AL664" s="328"/>
      <c r="AM664" s="325">
        <v>0</v>
      </c>
      <c r="AN664" s="328"/>
      <c r="AO664" s="12">
        <v>94.06</v>
      </c>
      <c r="AP664" s="131" t="s">
        <v>207</v>
      </c>
      <c r="AQ664" s="12">
        <v>125.56</v>
      </c>
      <c r="AR664" s="131" t="s">
        <v>207</v>
      </c>
      <c r="AS664" s="12">
        <v>172.96</v>
      </c>
      <c r="AT664" s="131" t="s">
        <v>207</v>
      </c>
      <c r="AU664" s="11">
        <f t="shared" si="32"/>
        <v>1309.1099999999999</v>
      </c>
      <c r="AV664" s="24" t="s">
        <v>1628</v>
      </c>
      <c r="AW664" s="23" t="s">
        <v>211</v>
      </c>
      <c r="AX664" s="23" t="s">
        <v>208</v>
      </c>
      <c r="AY664" s="29">
        <v>1</v>
      </c>
      <c r="AZ664" s="24"/>
    </row>
    <row r="665" spans="1:52" ht="15" customHeight="1" x14ac:dyDescent="0.3">
      <c r="A665" s="114">
        <v>654</v>
      </c>
      <c r="B665" s="174" t="s">
        <v>1346</v>
      </c>
      <c r="C665" s="11" t="s">
        <v>1619</v>
      </c>
      <c r="D665" s="11" t="s">
        <v>288</v>
      </c>
      <c r="E665" s="29" t="s">
        <v>205</v>
      </c>
      <c r="F665" s="11" t="s">
        <v>1620</v>
      </c>
      <c r="G665" s="25" t="s">
        <v>145</v>
      </c>
      <c r="H665" s="23" t="s">
        <v>146</v>
      </c>
      <c r="I665" s="24">
        <v>1</v>
      </c>
      <c r="J665" s="23" t="s">
        <v>205</v>
      </c>
      <c r="K665" s="23">
        <v>80</v>
      </c>
      <c r="L665" s="23" t="s">
        <v>1621</v>
      </c>
      <c r="M665" s="23" t="s">
        <v>211</v>
      </c>
      <c r="N665" s="122" t="s">
        <v>218</v>
      </c>
      <c r="O665" s="23"/>
      <c r="P665" s="132" t="s">
        <v>218</v>
      </c>
      <c r="Q665" s="23"/>
      <c r="R665" s="23" t="s">
        <v>1622</v>
      </c>
      <c r="S665" s="23"/>
      <c r="T665" s="23"/>
      <c r="U665" s="354">
        <v>384.45</v>
      </c>
      <c r="V665" s="24">
        <v>461.83</v>
      </c>
      <c r="W665" s="24">
        <v>91.18</v>
      </c>
      <c r="X665" s="131" t="s">
        <v>207</v>
      </c>
      <c r="Y665" s="12">
        <v>90.83</v>
      </c>
      <c r="Z665" s="133" t="s">
        <v>207</v>
      </c>
      <c r="AA665" s="12">
        <v>72.97</v>
      </c>
      <c r="AB665" s="133" t="s">
        <v>207</v>
      </c>
      <c r="AC665" s="12">
        <v>62.24</v>
      </c>
      <c r="AD665" s="131" t="s">
        <v>207</v>
      </c>
      <c r="AE665" s="12">
        <v>20</v>
      </c>
      <c r="AF665" s="131" t="s">
        <v>207</v>
      </c>
      <c r="AG665" s="325">
        <v>0</v>
      </c>
      <c r="AH665" s="328"/>
      <c r="AI665" s="325">
        <v>0</v>
      </c>
      <c r="AJ665" s="328"/>
      <c r="AK665" s="325">
        <v>0</v>
      </c>
      <c r="AL665" s="328"/>
      <c r="AM665" s="325">
        <v>0</v>
      </c>
      <c r="AN665" s="328"/>
      <c r="AO665" s="12">
        <v>38.69</v>
      </c>
      <c r="AP665" s="131" t="s">
        <v>207</v>
      </c>
      <c r="AQ665" s="12">
        <v>48.21</v>
      </c>
      <c r="AR665" s="131" t="s">
        <v>207</v>
      </c>
      <c r="AS665" s="12">
        <v>59.71</v>
      </c>
      <c r="AT665" s="131" t="s">
        <v>207</v>
      </c>
      <c r="AU665" s="11">
        <f t="shared" si="32"/>
        <v>483.82999999999993</v>
      </c>
      <c r="AV665" s="24" t="s">
        <v>1629</v>
      </c>
      <c r="AW665" s="23" t="s">
        <v>211</v>
      </c>
      <c r="AX665" s="23" t="s">
        <v>208</v>
      </c>
      <c r="AY665" s="29">
        <v>1</v>
      </c>
      <c r="AZ665" s="24"/>
    </row>
    <row r="666" spans="1:52" ht="15" customHeight="1" x14ac:dyDescent="0.3">
      <c r="A666" s="114">
        <v>655</v>
      </c>
      <c r="B666" s="174" t="s">
        <v>1347</v>
      </c>
      <c r="C666" s="11" t="s">
        <v>1619</v>
      </c>
      <c r="D666" s="11" t="s">
        <v>288</v>
      </c>
      <c r="E666" s="29" t="s">
        <v>205</v>
      </c>
      <c r="F666" s="11" t="s">
        <v>1620</v>
      </c>
      <c r="G666" s="25" t="s">
        <v>145</v>
      </c>
      <c r="H666" s="23" t="s">
        <v>146</v>
      </c>
      <c r="I666" s="24">
        <v>1</v>
      </c>
      <c r="J666" s="23" t="s">
        <v>205</v>
      </c>
      <c r="K666" s="23">
        <v>100</v>
      </c>
      <c r="L666" s="23" t="s">
        <v>1621</v>
      </c>
      <c r="M666" s="23" t="s">
        <v>211</v>
      </c>
      <c r="N666" s="122" t="s">
        <v>218</v>
      </c>
      <c r="O666" s="23"/>
      <c r="P666" s="132" t="s">
        <v>218</v>
      </c>
      <c r="Q666" s="23"/>
      <c r="R666" s="23" t="s">
        <v>1622</v>
      </c>
      <c r="S666" s="23"/>
      <c r="T666" s="23"/>
      <c r="U666" s="354">
        <v>1153.58</v>
      </c>
      <c r="V666" s="24">
        <v>1317.4</v>
      </c>
      <c r="W666" s="24">
        <v>261.99</v>
      </c>
      <c r="X666" s="131" t="s">
        <v>207</v>
      </c>
      <c r="Y666" s="12">
        <v>226.5</v>
      </c>
      <c r="Z666" s="133" t="s">
        <v>207</v>
      </c>
      <c r="AA666" s="12">
        <v>213.15</v>
      </c>
      <c r="AB666" s="133" t="s">
        <v>207</v>
      </c>
      <c r="AC666" s="12">
        <v>177.88</v>
      </c>
      <c r="AD666" s="131" t="s">
        <v>207</v>
      </c>
      <c r="AE666" s="12">
        <v>62.2</v>
      </c>
      <c r="AF666" s="131" t="s">
        <v>207</v>
      </c>
      <c r="AG666" s="325">
        <v>0</v>
      </c>
      <c r="AH666" s="328"/>
      <c r="AI666" s="325">
        <v>0</v>
      </c>
      <c r="AJ666" s="328"/>
      <c r="AK666" s="325">
        <v>0</v>
      </c>
      <c r="AL666" s="328"/>
      <c r="AM666" s="325">
        <v>0</v>
      </c>
      <c r="AN666" s="328"/>
      <c r="AO666" s="12">
        <v>107.345</v>
      </c>
      <c r="AP666" s="131" t="s">
        <v>207</v>
      </c>
      <c r="AQ666" s="12">
        <v>132.06</v>
      </c>
      <c r="AR666" s="131" t="s">
        <v>207</v>
      </c>
      <c r="AS666" s="12">
        <v>175.81</v>
      </c>
      <c r="AT666" s="131" t="s">
        <v>207</v>
      </c>
      <c r="AU666" s="11">
        <f t="shared" si="32"/>
        <v>1356.9349999999999</v>
      </c>
      <c r="AV666" s="329" t="s">
        <v>1630</v>
      </c>
      <c r="AW666" s="23" t="s">
        <v>211</v>
      </c>
      <c r="AX666" s="23" t="s">
        <v>208</v>
      </c>
      <c r="AY666" s="29">
        <v>1</v>
      </c>
      <c r="AZ666" s="24"/>
    </row>
    <row r="667" spans="1:52" ht="15" customHeight="1" x14ac:dyDescent="0.3">
      <c r="A667" s="114">
        <v>656</v>
      </c>
      <c r="B667" s="174" t="s">
        <v>1348</v>
      </c>
      <c r="C667" s="11" t="s">
        <v>1619</v>
      </c>
      <c r="D667" s="11" t="s">
        <v>288</v>
      </c>
      <c r="E667" s="29" t="s">
        <v>205</v>
      </c>
      <c r="F667" s="11" t="s">
        <v>1620</v>
      </c>
      <c r="G667" s="25" t="s">
        <v>145</v>
      </c>
      <c r="H667" s="23" t="s">
        <v>146</v>
      </c>
      <c r="I667" s="24">
        <v>1</v>
      </c>
      <c r="J667" s="23" t="s">
        <v>205</v>
      </c>
      <c r="K667" s="23">
        <v>100</v>
      </c>
      <c r="L667" s="23" t="s">
        <v>1621</v>
      </c>
      <c r="M667" s="23" t="s">
        <v>211</v>
      </c>
      <c r="N667" s="122" t="s">
        <v>218</v>
      </c>
      <c r="O667" s="23"/>
      <c r="P667" s="132" t="s">
        <v>218</v>
      </c>
      <c r="Q667" s="23"/>
      <c r="R667" s="23" t="s">
        <v>1622</v>
      </c>
      <c r="S667" s="23"/>
      <c r="T667" s="23"/>
      <c r="U667" s="354">
        <v>1162.76</v>
      </c>
      <c r="V667" s="24">
        <v>1324.15</v>
      </c>
      <c r="W667" s="24">
        <v>279.08</v>
      </c>
      <c r="X667" s="131" t="s">
        <v>207</v>
      </c>
      <c r="Y667" s="12">
        <v>240.06</v>
      </c>
      <c r="Z667" s="133" t="s">
        <v>207</v>
      </c>
      <c r="AA667" s="12">
        <v>224.85</v>
      </c>
      <c r="AB667" s="133" t="s">
        <v>207</v>
      </c>
      <c r="AC667" s="12">
        <v>194.74</v>
      </c>
      <c r="AD667" s="131" t="s">
        <v>207</v>
      </c>
      <c r="AE667" s="12">
        <v>72.180000000000007</v>
      </c>
      <c r="AF667" s="131" t="s">
        <v>207</v>
      </c>
      <c r="AG667" s="325">
        <v>0</v>
      </c>
      <c r="AH667" s="328"/>
      <c r="AI667" s="325">
        <v>0</v>
      </c>
      <c r="AJ667" s="328"/>
      <c r="AK667" s="325">
        <v>0</v>
      </c>
      <c r="AL667" s="328"/>
      <c r="AM667" s="325">
        <v>0</v>
      </c>
      <c r="AN667" s="328"/>
      <c r="AO667" s="12">
        <v>111.622</v>
      </c>
      <c r="AP667" s="131" t="s">
        <v>207</v>
      </c>
      <c r="AQ667" s="12">
        <v>157.13</v>
      </c>
      <c r="AR667" s="131" t="s">
        <v>207</v>
      </c>
      <c r="AS667" s="12">
        <v>180.19</v>
      </c>
      <c r="AT667" s="131" t="s">
        <v>207</v>
      </c>
      <c r="AU667" s="11">
        <f t="shared" si="32"/>
        <v>1459.8520000000003</v>
      </c>
      <c r="AV667" s="24" t="s">
        <v>1631</v>
      </c>
      <c r="AW667" s="23" t="s">
        <v>211</v>
      </c>
      <c r="AX667" s="23" t="s">
        <v>208</v>
      </c>
      <c r="AY667" s="29">
        <v>1</v>
      </c>
      <c r="AZ667" s="24"/>
    </row>
    <row r="668" spans="1:52" ht="15" customHeight="1" x14ac:dyDescent="0.3">
      <c r="A668" s="114">
        <v>657</v>
      </c>
      <c r="B668" s="174" t="s">
        <v>1349</v>
      </c>
      <c r="C668" s="11" t="s">
        <v>1619</v>
      </c>
      <c r="D668" s="11" t="s">
        <v>288</v>
      </c>
      <c r="E668" s="29" t="s">
        <v>205</v>
      </c>
      <c r="F668" s="11" t="s">
        <v>1620</v>
      </c>
      <c r="G668" s="25" t="s">
        <v>145</v>
      </c>
      <c r="H668" s="23" t="s">
        <v>146</v>
      </c>
      <c r="I668" s="24">
        <v>1</v>
      </c>
      <c r="J668" s="23" t="s">
        <v>205</v>
      </c>
      <c r="K668" s="23">
        <v>100</v>
      </c>
      <c r="L668" s="23" t="s">
        <v>1621</v>
      </c>
      <c r="M668" s="23" t="s">
        <v>211</v>
      </c>
      <c r="N668" s="122" t="s">
        <v>218</v>
      </c>
      <c r="O668" s="23"/>
      <c r="P668" s="132" t="s">
        <v>218</v>
      </c>
      <c r="Q668" s="23"/>
      <c r="R668" s="23" t="s">
        <v>1622</v>
      </c>
      <c r="S668" s="23"/>
      <c r="T668" s="23"/>
      <c r="U668" s="354">
        <v>1164.72</v>
      </c>
      <c r="V668" s="24">
        <v>1119.3599999999999</v>
      </c>
      <c r="W668" s="24">
        <v>182.3</v>
      </c>
      <c r="X668" s="131" t="s">
        <v>207</v>
      </c>
      <c r="Y668" s="12">
        <v>167.5</v>
      </c>
      <c r="Z668" s="133" t="s">
        <v>207</v>
      </c>
      <c r="AA668" s="12">
        <v>171.12299999999999</v>
      </c>
      <c r="AB668" s="133" t="s">
        <v>207</v>
      </c>
      <c r="AC668" s="12">
        <v>147.13999999999999</v>
      </c>
      <c r="AD668" s="131" t="s">
        <v>207</v>
      </c>
      <c r="AE668" s="12">
        <v>47.21</v>
      </c>
      <c r="AF668" s="131" t="s">
        <v>207</v>
      </c>
      <c r="AG668" s="325">
        <v>0</v>
      </c>
      <c r="AH668" s="328"/>
      <c r="AI668" s="325">
        <v>0</v>
      </c>
      <c r="AJ668" s="328"/>
      <c r="AK668" s="325">
        <v>0</v>
      </c>
      <c r="AL668" s="328"/>
      <c r="AM668" s="325">
        <v>0</v>
      </c>
      <c r="AN668" s="328"/>
      <c r="AO668" s="12">
        <v>74.290000000000006</v>
      </c>
      <c r="AP668" s="131" t="s">
        <v>207</v>
      </c>
      <c r="AQ668" s="12">
        <v>128.21</v>
      </c>
      <c r="AR668" s="131" t="s">
        <v>207</v>
      </c>
      <c r="AS668" s="12">
        <v>167.17</v>
      </c>
      <c r="AT668" s="131" t="s">
        <v>207</v>
      </c>
      <c r="AU668" s="11">
        <f t="shared" si="32"/>
        <v>1084.943</v>
      </c>
      <c r="AV668" s="24" t="s">
        <v>1632</v>
      </c>
      <c r="AW668" s="23" t="s">
        <v>211</v>
      </c>
      <c r="AX668" s="23" t="s">
        <v>208</v>
      </c>
      <c r="AY668" s="29">
        <v>1</v>
      </c>
      <c r="AZ668" s="24"/>
    </row>
    <row r="669" spans="1:52" ht="15" customHeight="1" x14ac:dyDescent="0.3">
      <c r="A669" s="114">
        <v>658</v>
      </c>
      <c r="B669" s="174" t="s">
        <v>1350</v>
      </c>
      <c r="C669" s="11" t="s">
        <v>1619</v>
      </c>
      <c r="D669" s="11" t="s">
        <v>288</v>
      </c>
      <c r="E669" s="29" t="s">
        <v>205</v>
      </c>
      <c r="F669" s="11" t="s">
        <v>1620</v>
      </c>
      <c r="G669" s="25" t="s">
        <v>145</v>
      </c>
      <c r="H669" s="23" t="s">
        <v>146</v>
      </c>
      <c r="I669" s="24">
        <v>1</v>
      </c>
      <c r="J669" s="23" t="s">
        <v>205</v>
      </c>
      <c r="K669" s="23">
        <v>100</v>
      </c>
      <c r="L669" s="23" t="s">
        <v>1621</v>
      </c>
      <c r="M669" s="23" t="s">
        <v>211</v>
      </c>
      <c r="N669" s="122" t="s">
        <v>218</v>
      </c>
      <c r="O669" s="23"/>
      <c r="P669" s="132" t="s">
        <v>218</v>
      </c>
      <c r="Q669" s="23"/>
      <c r="R669" s="23" t="s">
        <v>1622</v>
      </c>
      <c r="S669" s="23"/>
      <c r="T669" s="23"/>
      <c r="U669" s="354">
        <v>1145.55</v>
      </c>
      <c r="V669" s="24">
        <v>1375.28</v>
      </c>
      <c r="W669" s="24">
        <v>266.08999999999997</v>
      </c>
      <c r="X669" s="131" t="s">
        <v>207</v>
      </c>
      <c r="Y669" s="12">
        <v>234.31</v>
      </c>
      <c r="Z669" s="133" t="s">
        <v>207</v>
      </c>
      <c r="AA669" s="12">
        <v>221.53</v>
      </c>
      <c r="AB669" s="133" t="s">
        <v>207</v>
      </c>
      <c r="AC669" s="12">
        <v>191.99</v>
      </c>
      <c r="AD669" s="131" t="s">
        <v>207</v>
      </c>
      <c r="AE669" s="12">
        <v>74.62</v>
      </c>
      <c r="AF669" s="131" t="s">
        <v>207</v>
      </c>
      <c r="AG669" s="325">
        <v>0</v>
      </c>
      <c r="AH669" s="328"/>
      <c r="AI669" s="325">
        <v>0</v>
      </c>
      <c r="AJ669" s="328"/>
      <c r="AK669" s="325">
        <v>0</v>
      </c>
      <c r="AL669" s="328"/>
      <c r="AM669" s="325">
        <v>0</v>
      </c>
      <c r="AN669" s="328"/>
      <c r="AO669" s="12">
        <v>114.45</v>
      </c>
      <c r="AP669" s="131" t="s">
        <v>207</v>
      </c>
      <c r="AQ669" s="12">
        <v>149.84</v>
      </c>
      <c r="AR669" s="131" t="s">
        <v>207</v>
      </c>
      <c r="AS669" s="12">
        <v>191.39</v>
      </c>
      <c r="AT669" s="131" t="s">
        <v>207</v>
      </c>
      <c r="AU669" s="11">
        <f t="shared" si="32"/>
        <v>1444.2199999999998</v>
      </c>
      <c r="AV669" s="24" t="s">
        <v>1626</v>
      </c>
      <c r="AW669" s="23" t="s">
        <v>211</v>
      </c>
      <c r="AX669" s="23" t="s">
        <v>208</v>
      </c>
      <c r="AY669" s="29">
        <v>1</v>
      </c>
      <c r="AZ669" s="24"/>
    </row>
    <row r="670" spans="1:52" ht="15" customHeight="1" x14ac:dyDescent="0.3">
      <c r="A670" s="114">
        <v>659</v>
      </c>
      <c r="B670" s="174" t="s">
        <v>1351</v>
      </c>
      <c r="C670" s="11" t="s">
        <v>1619</v>
      </c>
      <c r="D670" s="11" t="s">
        <v>288</v>
      </c>
      <c r="E670" s="29" t="s">
        <v>205</v>
      </c>
      <c r="F670" s="11" t="s">
        <v>1620</v>
      </c>
      <c r="G670" s="25" t="s">
        <v>145</v>
      </c>
      <c r="H670" s="23" t="s">
        <v>146</v>
      </c>
      <c r="I670" s="24">
        <v>1</v>
      </c>
      <c r="J670" s="23" t="s">
        <v>205</v>
      </c>
      <c r="K670" s="23">
        <v>100</v>
      </c>
      <c r="L670" s="23" t="s">
        <v>1621</v>
      </c>
      <c r="M670" s="23" t="s">
        <v>211</v>
      </c>
      <c r="N670" s="122" t="s">
        <v>218</v>
      </c>
      <c r="O670" s="23"/>
      <c r="P670" s="132" t="s">
        <v>218</v>
      </c>
      <c r="Q670" s="23"/>
      <c r="R670" s="23" t="s">
        <v>1622</v>
      </c>
      <c r="S670" s="23"/>
      <c r="T670" s="23"/>
      <c r="U670" s="354">
        <v>1145.68</v>
      </c>
      <c r="V670" s="24">
        <v>1309.22</v>
      </c>
      <c r="W670" s="24">
        <v>246.36</v>
      </c>
      <c r="X670" s="131" t="s">
        <v>207</v>
      </c>
      <c r="Y670" s="12">
        <v>220.89</v>
      </c>
      <c r="Z670" s="133" t="s">
        <v>207</v>
      </c>
      <c r="AA670" s="12">
        <v>209.52</v>
      </c>
      <c r="AB670" s="133" t="s">
        <v>207</v>
      </c>
      <c r="AC670" s="12">
        <v>163.72999999999999</v>
      </c>
      <c r="AD670" s="131" t="s">
        <v>207</v>
      </c>
      <c r="AE670" s="12">
        <v>68.569999999999993</v>
      </c>
      <c r="AF670" s="131" t="s">
        <v>207</v>
      </c>
      <c r="AG670" s="325">
        <v>0</v>
      </c>
      <c r="AH670" s="328"/>
      <c r="AI670" s="325">
        <v>0</v>
      </c>
      <c r="AJ670" s="328"/>
      <c r="AK670" s="325">
        <v>0</v>
      </c>
      <c r="AL670" s="328"/>
      <c r="AM670" s="325">
        <v>0</v>
      </c>
      <c r="AN670" s="328"/>
      <c r="AO670" s="12">
        <v>95.72</v>
      </c>
      <c r="AP670" s="131" t="s">
        <v>207</v>
      </c>
      <c r="AQ670" s="12">
        <v>125.19</v>
      </c>
      <c r="AR670" s="131" t="s">
        <v>207</v>
      </c>
      <c r="AS670" s="12">
        <v>175.61</v>
      </c>
      <c r="AT670" s="131" t="s">
        <v>207</v>
      </c>
      <c r="AU670" s="11">
        <f t="shared" si="32"/>
        <v>1305.5900000000001</v>
      </c>
      <c r="AV670" s="24" t="s">
        <v>1633</v>
      </c>
      <c r="AW670" s="23" t="s">
        <v>211</v>
      </c>
      <c r="AX670" s="23" t="s">
        <v>208</v>
      </c>
      <c r="AY670" s="29">
        <v>1</v>
      </c>
      <c r="AZ670" s="24"/>
    </row>
    <row r="671" spans="1:52" ht="15" customHeight="1" x14ac:dyDescent="0.3">
      <c r="A671" s="114">
        <v>660</v>
      </c>
      <c r="B671" s="174" t="s">
        <v>1352</v>
      </c>
      <c r="C671" s="11" t="s">
        <v>1619</v>
      </c>
      <c r="D671" s="11" t="s">
        <v>288</v>
      </c>
      <c r="E671" s="29" t="s">
        <v>205</v>
      </c>
      <c r="F671" s="11" t="s">
        <v>1620</v>
      </c>
      <c r="G671" s="25" t="s">
        <v>145</v>
      </c>
      <c r="H671" s="23" t="s">
        <v>146</v>
      </c>
      <c r="I671" s="24">
        <v>1</v>
      </c>
      <c r="J671" s="23" t="s">
        <v>205</v>
      </c>
      <c r="K671" s="23">
        <v>100</v>
      </c>
      <c r="L671" s="23" t="s">
        <v>1621</v>
      </c>
      <c r="M671" s="23" t="s">
        <v>211</v>
      </c>
      <c r="N671" s="122" t="s">
        <v>218</v>
      </c>
      <c r="O671" s="23"/>
      <c r="P671" s="132" t="s">
        <v>218</v>
      </c>
      <c r="Q671" s="23"/>
      <c r="R671" s="23" t="s">
        <v>1622</v>
      </c>
      <c r="S671" s="23"/>
      <c r="T671" s="23"/>
      <c r="U671" s="354">
        <v>1137.06</v>
      </c>
      <c r="V671" s="24">
        <v>1352.68</v>
      </c>
      <c r="W671" s="24">
        <v>258.73</v>
      </c>
      <c r="X671" s="131" t="s">
        <v>207</v>
      </c>
      <c r="Y671" s="12">
        <v>223.83</v>
      </c>
      <c r="Z671" s="133" t="s">
        <v>207</v>
      </c>
      <c r="AA671" s="12">
        <v>207.01</v>
      </c>
      <c r="AB671" s="133" t="s">
        <v>207</v>
      </c>
      <c r="AC671" s="12">
        <v>158.44</v>
      </c>
      <c r="AD671" s="131" t="s">
        <v>207</v>
      </c>
      <c r="AE671" s="12">
        <v>69.64</v>
      </c>
      <c r="AF671" s="131" t="s">
        <v>207</v>
      </c>
      <c r="AG671" s="325">
        <v>0</v>
      </c>
      <c r="AH671" s="328"/>
      <c r="AI671" s="325">
        <v>0</v>
      </c>
      <c r="AJ671" s="328"/>
      <c r="AK671" s="325">
        <v>0</v>
      </c>
      <c r="AL671" s="328"/>
      <c r="AM671" s="325">
        <v>0</v>
      </c>
      <c r="AN671" s="328"/>
      <c r="AO671" s="12">
        <v>103.14</v>
      </c>
      <c r="AP671" s="131" t="s">
        <v>207</v>
      </c>
      <c r="AQ671" s="12">
        <v>142.25</v>
      </c>
      <c r="AR671" s="131" t="s">
        <v>207</v>
      </c>
      <c r="AS671" s="12">
        <v>182.55</v>
      </c>
      <c r="AT671" s="131" t="s">
        <v>207</v>
      </c>
      <c r="AU671" s="11">
        <f t="shared" si="32"/>
        <v>1345.59</v>
      </c>
      <c r="AV671" s="24" t="s">
        <v>1626</v>
      </c>
      <c r="AW671" s="23" t="s">
        <v>211</v>
      </c>
      <c r="AX671" s="23" t="s">
        <v>208</v>
      </c>
      <c r="AY671" s="29">
        <v>1</v>
      </c>
      <c r="AZ671" s="24"/>
    </row>
    <row r="672" spans="1:52" ht="15" customHeight="1" x14ac:dyDescent="0.3">
      <c r="A672" s="114">
        <v>661</v>
      </c>
      <c r="B672" s="174" t="s">
        <v>1504</v>
      </c>
      <c r="C672" s="11" t="s">
        <v>1619</v>
      </c>
      <c r="D672" s="11" t="s">
        <v>288</v>
      </c>
      <c r="E672" s="29" t="s">
        <v>205</v>
      </c>
      <c r="F672" s="11" t="s">
        <v>1620</v>
      </c>
      <c r="G672" s="25" t="s">
        <v>145</v>
      </c>
      <c r="H672" s="23" t="s">
        <v>146</v>
      </c>
      <c r="I672" s="24">
        <v>1</v>
      </c>
      <c r="J672" s="23" t="s">
        <v>205</v>
      </c>
      <c r="K672" s="23">
        <v>80</v>
      </c>
      <c r="L672" s="23" t="s">
        <v>1621</v>
      </c>
      <c r="M672" s="23" t="s">
        <v>211</v>
      </c>
      <c r="N672" s="122" t="s">
        <v>218</v>
      </c>
      <c r="O672" s="23"/>
      <c r="P672" s="132" t="s">
        <v>218</v>
      </c>
      <c r="Q672" s="23"/>
      <c r="R672" s="23" t="s">
        <v>1622</v>
      </c>
      <c r="S672" s="23"/>
      <c r="T672" s="23"/>
      <c r="U672" s="354">
        <v>381.27</v>
      </c>
      <c r="V672" s="24">
        <v>459.6</v>
      </c>
      <c r="W672" s="24">
        <v>83.27</v>
      </c>
      <c r="X672" s="131" t="s">
        <v>207</v>
      </c>
      <c r="Y672" s="12">
        <v>72.48</v>
      </c>
      <c r="Z672" s="133" t="s">
        <v>207</v>
      </c>
      <c r="AA672" s="12">
        <v>69.58</v>
      </c>
      <c r="AB672" s="133" t="s">
        <v>207</v>
      </c>
      <c r="AC672" s="12">
        <v>54.3</v>
      </c>
      <c r="AD672" s="131" t="s">
        <v>207</v>
      </c>
      <c r="AE672" s="12">
        <v>18.45</v>
      </c>
      <c r="AF672" s="131" t="s">
        <v>207</v>
      </c>
      <c r="AG672" s="325">
        <v>0</v>
      </c>
      <c r="AH672" s="328"/>
      <c r="AI672" s="325">
        <v>0</v>
      </c>
      <c r="AJ672" s="328"/>
      <c r="AK672" s="325">
        <v>0</v>
      </c>
      <c r="AL672" s="328"/>
      <c r="AM672" s="325">
        <v>0</v>
      </c>
      <c r="AN672" s="328"/>
      <c r="AO672" s="12">
        <v>34.24</v>
      </c>
      <c r="AP672" s="131" t="s">
        <v>207</v>
      </c>
      <c r="AQ672" s="12">
        <v>47.53</v>
      </c>
      <c r="AR672" s="131" t="s">
        <v>207</v>
      </c>
      <c r="AS672" s="12">
        <v>60.82</v>
      </c>
      <c r="AT672" s="131" t="s">
        <v>207</v>
      </c>
      <c r="AU672" s="11">
        <f t="shared" si="32"/>
        <v>440.67</v>
      </c>
      <c r="AV672" s="24" t="s">
        <v>1634</v>
      </c>
      <c r="AW672" s="23" t="s">
        <v>211</v>
      </c>
      <c r="AX672" s="23" t="s">
        <v>208</v>
      </c>
      <c r="AY672" s="29">
        <v>1</v>
      </c>
      <c r="AZ672" s="24"/>
    </row>
    <row r="673" spans="1:52" ht="15" customHeight="1" x14ac:dyDescent="0.3">
      <c r="A673" s="114">
        <v>662</v>
      </c>
      <c r="B673" s="174" t="s">
        <v>1505</v>
      </c>
      <c r="C673" s="11" t="s">
        <v>1619</v>
      </c>
      <c r="D673" s="11" t="s">
        <v>288</v>
      </c>
      <c r="E673" s="29" t="s">
        <v>205</v>
      </c>
      <c r="F673" s="11" t="s">
        <v>1620</v>
      </c>
      <c r="G673" s="25" t="s">
        <v>145</v>
      </c>
      <c r="H673" s="23" t="s">
        <v>146</v>
      </c>
      <c r="I673" s="24">
        <v>1</v>
      </c>
      <c r="J673" s="23" t="s">
        <v>205</v>
      </c>
      <c r="K673" s="23">
        <v>100</v>
      </c>
      <c r="L673" s="23" t="s">
        <v>1621</v>
      </c>
      <c r="M673" s="23" t="s">
        <v>211</v>
      </c>
      <c r="N673" s="122" t="s">
        <v>218</v>
      </c>
      <c r="O673" s="23"/>
      <c r="P673" s="132" t="s">
        <v>218</v>
      </c>
      <c r="Q673" s="23"/>
      <c r="R673" s="23" t="s">
        <v>1622</v>
      </c>
      <c r="S673" s="23"/>
      <c r="T673" s="23"/>
      <c r="U673" s="354">
        <v>765.32</v>
      </c>
      <c r="V673" s="24">
        <v>847.72</v>
      </c>
      <c r="W673" s="24">
        <v>101.62</v>
      </c>
      <c r="X673" s="330" t="s">
        <v>449</v>
      </c>
      <c r="Y673" s="24">
        <v>101.62</v>
      </c>
      <c r="Z673" s="330" t="s">
        <v>449</v>
      </c>
      <c r="AA673" s="24">
        <v>101.62</v>
      </c>
      <c r="AB673" s="133" t="s">
        <v>449</v>
      </c>
      <c r="AC673" s="12">
        <v>115.47</v>
      </c>
      <c r="AD673" s="131" t="s">
        <v>207</v>
      </c>
      <c r="AE673" s="12">
        <v>36.799999999999997</v>
      </c>
      <c r="AF673" s="131" t="s">
        <v>207</v>
      </c>
      <c r="AG673" s="325">
        <v>0</v>
      </c>
      <c r="AH673" s="328"/>
      <c r="AI673" s="325">
        <v>0</v>
      </c>
      <c r="AJ673" s="328"/>
      <c r="AK673" s="325">
        <v>0</v>
      </c>
      <c r="AL673" s="328"/>
      <c r="AM673" s="325">
        <v>0</v>
      </c>
      <c r="AN673" s="328"/>
      <c r="AO673" s="12">
        <v>68.03</v>
      </c>
      <c r="AP673" s="131" t="s">
        <v>207</v>
      </c>
      <c r="AQ673" s="12">
        <v>79.66</v>
      </c>
      <c r="AR673" s="131" t="s">
        <v>207</v>
      </c>
      <c r="AS673" s="12">
        <v>117.11</v>
      </c>
      <c r="AT673" s="131" t="s">
        <v>207</v>
      </c>
      <c r="AU673" s="29">
        <f t="shared" si="32"/>
        <v>721.93000000000006</v>
      </c>
      <c r="AV673" s="24" t="s">
        <v>1635</v>
      </c>
      <c r="AW673" s="23" t="s">
        <v>211</v>
      </c>
      <c r="AX673" s="23" t="s">
        <v>208</v>
      </c>
      <c r="AY673" s="29">
        <v>1</v>
      </c>
      <c r="AZ673" s="24"/>
    </row>
    <row r="674" spans="1:52" ht="15" customHeight="1" x14ac:dyDescent="0.3">
      <c r="A674" s="114">
        <v>663</v>
      </c>
      <c r="B674" s="174" t="s">
        <v>1506</v>
      </c>
      <c r="C674" s="11" t="s">
        <v>1619</v>
      </c>
      <c r="D674" s="11" t="s">
        <v>288</v>
      </c>
      <c r="E674" s="29" t="s">
        <v>205</v>
      </c>
      <c r="F674" s="11" t="s">
        <v>1620</v>
      </c>
      <c r="G674" s="25" t="s">
        <v>145</v>
      </c>
      <c r="H674" s="23" t="s">
        <v>146</v>
      </c>
      <c r="I674" s="24">
        <v>1</v>
      </c>
      <c r="J674" s="23" t="s">
        <v>205</v>
      </c>
      <c r="K674" s="23">
        <v>100</v>
      </c>
      <c r="L674" s="23" t="s">
        <v>1621</v>
      </c>
      <c r="M674" s="23" t="s">
        <v>211</v>
      </c>
      <c r="N674" s="122" t="s">
        <v>218</v>
      </c>
      <c r="O674" s="23"/>
      <c r="P674" s="132" t="s">
        <v>218</v>
      </c>
      <c r="Q674" s="23"/>
      <c r="R674" s="23" t="s">
        <v>1622</v>
      </c>
      <c r="S674" s="23"/>
      <c r="T674" s="23"/>
      <c r="U674" s="354">
        <v>1160.3800000000001</v>
      </c>
      <c r="V674" s="24">
        <v>1349.06</v>
      </c>
      <c r="W674" s="24">
        <v>263.05</v>
      </c>
      <c r="X674" s="133" t="s">
        <v>207</v>
      </c>
      <c r="Y674" s="12">
        <v>225.16</v>
      </c>
      <c r="Z674" s="133" t="s">
        <v>207</v>
      </c>
      <c r="AA674" s="12">
        <v>214.25</v>
      </c>
      <c r="AB674" s="133" t="s">
        <v>207</v>
      </c>
      <c r="AC674" s="12">
        <v>181.28</v>
      </c>
      <c r="AD674" s="131" t="s">
        <v>207</v>
      </c>
      <c r="AE674" s="12">
        <v>60.54</v>
      </c>
      <c r="AF674" s="131" t="s">
        <v>207</v>
      </c>
      <c r="AG674" s="325">
        <v>0</v>
      </c>
      <c r="AH674" s="328"/>
      <c r="AI674" s="325">
        <v>0</v>
      </c>
      <c r="AJ674" s="328"/>
      <c r="AK674" s="325">
        <v>0</v>
      </c>
      <c r="AL674" s="328"/>
      <c r="AM674" s="325">
        <v>0</v>
      </c>
      <c r="AN674" s="328"/>
      <c r="AO674" s="12">
        <v>93.44</v>
      </c>
      <c r="AP674" s="131" t="s">
        <v>207</v>
      </c>
      <c r="AQ674" s="12">
        <v>123.01</v>
      </c>
      <c r="AR674" s="131" t="s">
        <v>207</v>
      </c>
      <c r="AS674" s="12">
        <v>174.86</v>
      </c>
      <c r="AT674" s="131" t="s">
        <v>207</v>
      </c>
      <c r="AU674" s="11">
        <f t="shared" si="32"/>
        <v>1335.5900000000001</v>
      </c>
      <c r="AV674" s="24" t="s">
        <v>1636</v>
      </c>
      <c r="AW674" s="23" t="s">
        <v>211</v>
      </c>
      <c r="AX674" s="23" t="s">
        <v>208</v>
      </c>
      <c r="AY674" s="29">
        <v>1</v>
      </c>
      <c r="AZ674" s="24"/>
    </row>
    <row r="675" spans="1:52" ht="15" customHeight="1" x14ac:dyDescent="0.3">
      <c r="A675" s="114">
        <v>664</v>
      </c>
      <c r="B675" s="174" t="s">
        <v>1507</v>
      </c>
      <c r="C675" s="11" t="s">
        <v>1619</v>
      </c>
      <c r="D675" s="11" t="s">
        <v>288</v>
      </c>
      <c r="E675" s="29" t="s">
        <v>205</v>
      </c>
      <c r="F675" s="11" t="s">
        <v>1620</v>
      </c>
      <c r="G675" s="25" t="s">
        <v>145</v>
      </c>
      <c r="H675" s="23" t="s">
        <v>146</v>
      </c>
      <c r="I675" s="24">
        <v>2</v>
      </c>
      <c r="J675" s="23" t="s">
        <v>205</v>
      </c>
      <c r="K675" s="23">
        <v>100</v>
      </c>
      <c r="L675" s="23" t="s">
        <v>1621</v>
      </c>
      <c r="M675" s="23" t="s">
        <v>211</v>
      </c>
      <c r="N675" s="122" t="s">
        <v>218</v>
      </c>
      <c r="O675" s="23"/>
      <c r="P675" s="132" t="s">
        <v>218</v>
      </c>
      <c r="Q675" s="23"/>
      <c r="R675" s="23" t="s">
        <v>1622</v>
      </c>
      <c r="S675" s="23"/>
      <c r="T675" s="23"/>
      <c r="U675" s="354">
        <v>2490.34</v>
      </c>
      <c r="V675" s="24">
        <v>3094.28</v>
      </c>
      <c r="W675" s="24">
        <f>272.89+367.9</f>
        <v>640.79</v>
      </c>
      <c r="X675" s="133" t="s">
        <v>207</v>
      </c>
      <c r="Y675" s="12">
        <f>197.86+289.09</f>
        <v>486.95</v>
      </c>
      <c r="Z675" s="133" t="s">
        <v>207</v>
      </c>
      <c r="AA675" s="12">
        <f>210.92+262.2</f>
        <v>473.12</v>
      </c>
      <c r="AB675" s="133" t="s">
        <v>207</v>
      </c>
      <c r="AC675" s="12">
        <f>157.16+203</f>
        <v>360.15999999999997</v>
      </c>
      <c r="AD675" s="131" t="s">
        <v>207</v>
      </c>
      <c r="AE675" s="12">
        <v>108.2</v>
      </c>
      <c r="AF675" s="131" t="s">
        <v>207</v>
      </c>
      <c r="AG675" s="325">
        <v>0</v>
      </c>
      <c r="AH675" s="328"/>
      <c r="AI675" s="325">
        <v>0</v>
      </c>
      <c r="AJ675" s="328"/>
      <c r="AK675" s="325">
        <v>0</v>
      </c>
      <c r="AL675" s="328"/>
      <c r="AM675" s="325">
        <v>0</v>
      </c>
      <c r="AN675" s="328"/>
      <c r="AO675" s="12">
        <v>235.86</v>
      </c>
      <c r="AP675" s="131" t="s">
        <v>207</v>
      </c>
      <c r="AQ675" s="12">
        <v>328.57</v>
      </c>
      <c r="AR675" s="131" t="s">
        <v>207</v>
      </c>
      <c r="AS675" s="12">
        <v>378.66</v>
      </c>
      <c r="AT675" s="131" t="s">
        <v>207</v>
      </c>
      <c r="AU675" s="11">
        <f t="shared" si="32"/>
        <v>3012.31</v>
      </c>
      <c r="AV675" s="329" t="s">
        <v>1637</v>
      </c>
      <c r="AW675" s="23" t="s">
        <v>211</v>
      </c>
      <c r="AX675" s="23" t="s">
        <v>208</v>
      </c>
      <c r="AY675" s="24">
        <v>2</v>
      </c>
      <c r="AZ675" s="24"/>
    </row>
    <row r="676" spans="1:52" ht="15" customHeight="1" x14ac:dyDescent="0.3">
      <c r="A676" s="114">
        <v>665</v>
      </c>
      <c r="B676" s="174" t="s">
        <v>1508</v>
      </c>
      <c r="C676" s="11" t="s">
        <v>1619</v>
      </c>
      <c r="D676" s="11" t="s">
        <v>288</v>
      </c>
      <c r="E676" s="29" t="s">
        <v>205</v>
      </c>
      <c r="F676" s="11" t="s">
        <v>1620</v>
      </c>
      <c r="G676" s="25" t="s">
        <v>145</v>
      </c>
      <c r="H676" s="23" t="s">
        <v>146</v>
      </c>
      <c r="I676" s="24">
        <v>3</v>
      </c>
      <c r="J676" s="23" t="s">
        <v>205</v>
      </c>
      <c r="K676" s="23">
        <v>100</v>
      </c>
      <c r="L676" s="23" t="s">
        <v>1621</v>
      </c>
      <c r="M676" s="23" t="s">
        <v>211</v>
      </c>
      <c r="N676" s="122" t="s">
        <v>218</v>
      </c>
      <c r="O676" s="23"/>
      <c r="P676" s="132" t="s">
        <v>218</v>
      </c>
      <c r="Q676" s="23"/>
      <c r="R676" s="23" t="s">
        <v>1622</v>
      </c>
      <c r="S676" s="23"/>
      <c r="T676" s="23"/>
      <c r="U676" s="354">
        <v>4354.87</v>
      </c>
      <c r="V676" s="24">
        <v>4770.08</v>
      </c>
      <c r="W676" s="24">
        <f>231.19+534.2+310.89</f>
        <v>1076.2800000000002</v>
      </c>
      <c r="X676" s="133" t="s">
        <v>207</v>
      </c>
      <c r="Y676" s="12">
        <f>214.14+455.95+245.9</f>
        <v>915.9899999999999</v>
      </c>
      <c r="Z676" s="133" t="s">
        <v>207</v>
      </c>
      <c r="AA676" s="12">
        <f>191.14+434.82+199</f>
        <v>824.96</v>
      </c>
      <c r="AB676" s="133" t="s">
        <v>207</v>
      </c>
      <c r="AC676" s="12">
        <f>90.49+204</f>
        <v>294.49</v>
      </c>
      <c r="AD676" s="131" t="s">
        <v>207</v>
      </c>
      <c r="AE676" s="12">
        <v>226.3</v>
      </c>
      <c r="AF676" s="131" t="s">
        <v>207</v>
      </c>
      <c r="AG676" s="325">
        <v>0</v>
      </c>
      <c r="AH676" s="328"/>
      <c r="AI676" s="325">
        <v>0</v>
      </c>
      <c r="AJ676" s="328"/>
      <c r="AK676" s="325">
        <v>0</v>
      </c>
      <c r="AL676" s="328"/>
      <c r="AM676" s="325">
        <v>0</v>
      </c>
      <c r="AN676" s="328"/>
      <c r="AO676" s="12">
        <v>395.69</v>
      </c>
      <c r="AP676" s="131" t="s">
        <v>207</v>
      </c>
      <c r="AQ676" s="12">
        <v>526.51</v>
      </c>
      <c r="AR676" s="131" t="s">
        <v>207</v>
      </c>
      <c r="AS676" s="12">
        <v>703.04</v>
      </c>
      <c r="AT676" s="131" t="s">
        <v>207</v>
      </c>
      <c r="AU676" s="11">
        <f t="shared" si="32"/>
        <v>4963.26</v>
      </c>
      <c r="AV676" s="329" t="s">
        <v>1638</v>
      </c>
      <c r="AW676" s="23" t="s">
        <v>211</v>
      </c>
      <c r="AX676" s="23" t="s">
        <v>208</v>
      </c>
      <c r="AY676" s="24">
        <v>3</v>
      </c>
      <c r="AZ676" s="24"/>
    </row>
    <row r="677" spans="1:52" ht="15" customHeight="1" x14ac:dyDescent="0.3">
      <c r="A677" s="114">
        <v>666</v>
      </c>
      <c r="B677" s="174" t="s">
        <v>1509</v>
      </c>
      <c r="C677" s="11" t="s">
        <v>1619</v>
      </c>
      <c r="D677" s="11" t="s">
        <v>288</v>
      </c>
      <c r="E677" s="29" t="s">
        <v>289</v>
      </c>
      <c r="F677" s="11" t="s">
        <v>1620</v>
      </c>
      <c r="G677" s="25" t="s">
        <v>145</v>
      </c>
      <c r="H677" s="23" t="s">
        <v>146</v>
      </c>
      <c r="I677" s="24">
        <v>1</v>
      </c>
      <c r="J677" s="23" t="s">
        <v>289</v>
      </c>
      <c r="K677" s="23">
        <v>100</v>
      </c>
      <c r="L677" s="23" t="s">
        <v>1621</v>
      </c>
      <c r="M677" s="23" t="s">
        <v>223</v>
      </c>
      <c r="N677" s="122" t="s">
        <v>218</v>
      </c>
      <c r="O677" s="23"/>
      <c r="P677" s="132" t="s">
        <v>218</v>
      </c>
      <c r="Q677" s="23"/>
      <c r="R677" s="23" t="s">
        <v>1639</v>
      </c>
      <c r="S677" s="23"/>
      <c r="T677" s="23"/>
      <c r="U677" s="354">
        <v>1116.08</v>
      </c>
      <c r="V677" s="24">
        <v>1213.2</v>
      </c>
      <c r="W677" s="24">
        <v>223.96</v>
      </c>
      <c r="X677" s="133" t="s">
        <v>207</v>
      </c>
      <c r="Y677" s="12">
        <v>198.18</v>
      </c>
      <c r="Z677" s="133" t="s">
        <v>207</v>
      </c>
      <c r="AA677" s="12">
        <v>187.58</v>
      </c>
      <c r="AB677" s="133" t="s">
        <v>207</v>
      </c>
      <c r="AC677" s="12">
        <v>155.33000000000001</v>
      </c>
      <c r="AD677" s="131" t="s">
        <v>207</v>
      </c>
      <c r="AE677" s="12">
        <v>41.32</v>
      </c>
      <c r="AF677" s="131" t="s">
        <v>207</v>
      </c>
      <c r="AG677" s="325">
        <v>0</v>
      </c>
      <c r="AH677" s="328"/>
      <c r="AI677" s="325">
        <v>0</v>
      </c>
      <c r="AJ677" s="328"/>
      <c r="AK677" s="325">
        <v>0</v>
      </c>
      <c r="AL677" s="328"/>
      <c r="AM677" s="325">
        <v>0</v>
      </c>
      <c r="AN677" s="328"/>
      <c r="AO677" s="12">
        <v>63.95</v>
      </c>
      <c r="AP677" s="131" t="s">
        <v>207</v>
      </c>
      <c r="AQ677" s="12">
        <v>138.41999999999999</v>
      </c>
      <c r="AR677" s="131" t="s">
        <v>207</v>
      </c>
      <c r="AS677" s="12">
        <v>172.57</v>
      </c>
      <c r="AT677" s="131" t="s">
        <v>207</v>
      </c>
      <c r="AU677" s="11">
        <f t="shared" si="32"/>
        <v>1181.3100000000002</v>
      </c>
      <c r="AV677" s="329" t="s">
        <v>1640</v>
      </c>
      <c r="AW677" s="23" t="s">
        <v>223</v>
      </c>
      <c r="AX677" s="23" t="s">
        <v>208</v>
      </c>
      <c r="AY677" s="24"/>
      <c r="AZ677" s="24"/>
    </row>
    <row r="678" spans="1:52" ht="15" customHeight="1" x14ac:dyDescent="0.3">
      <c r="A678" s="114">
        <v>667</v>
      </c>
      <c r="B678" s="174" t="s">
        <v>1510</v>
      </c>
      <c r="C678" s="11" t="s">
        <v>1619</v>
      </c>
      <c r="D678" s="11" t="s">
        <v>288</v>
      </c>
      <c r="E678" s="29" t="s">
        <v>205</v>
      </c>
      <c r="F678" s="11" t="s">
        <v>1620</v>
      </c>
      <c r="G678" s="25" t="s">
        <v>145</v>
      </c>
      <c r="H678" s="23" t="s">
        <v>146</v>
      </c>
      <c r="I678" s="24">
        <v>3</v>
      </c>
      <c r="J678" s="23" t="s">
        <v>205</v>
      </c>
      <c r="K678" s="23">
        <v>100</v>
      </c>
      <c r="L678" s="23" t="s">
        <v>1621</v>
      </c>
      <c r="M678" s="23" t="s">
        <v>211</v>
      </c>
      <c r="N678" s="122" t="s">
        <v>218</v>
      </c>
      <c r="O678" s="23"/>
      <c r="P678" s="132" t="s">
        <v>218</v>
      </c>
      <c r="Q678" s="23"/>
      <c r="R678" s="23" t="s">
        <v>1622</v>
      </c>
      <c r="S678" s="23"/>
      <c r="T678" s="23"/>
      <c r="U678" s="354">
        <v>3233.11</v>
      </c>
      <c r="V678" s="24">
        <v>3633.24</v>
      </c>
      <c r="W678" s="24">
        <f>147.76+295.29+219.4</f>
        <v>662.45</v>
      </c>
      <c r="X678" s="133" t="s">
        <v>207</v>
      </c>
      <c r="Y678" s="12">
        <f>120.28+247.23+171.34</f>
        <v>538.85</v>
      </c>
      <c r="Z678" s="133" t="s">
        <v>207</v>
      </c>
      <c r="AA678" s="12">
        <f>120.87+240.44+156.96</f>
        <v>518.27</v>
      </c>
      <c r="AB678" s="133" t="s">
        <v>207</v>
      </c>
      <c r="AC678" s="12">
        <f>92.51+189.69+124.95</f>
        <v>407.15</v>
      </c>
      <c r="AD678" s="131" t="s">
        <v>207</v>
      </c>
      <c r="AE678" s="12">
        <v>136.22999999999999</v>
      </c>
      <c r="AF678" s="131" t="s">
        <v>207</v>
      </c>
      <c r="AG678" s="325">
        <v>0</v>
      </c>
      <c r="AH678" s="328"/>
      <c r="AI678" s="325">
        <v>0</v>
      </c>
      <c r="AJ678" s="328"/>
      <c r="AK678" s="325">
        <v>0</v>
      </c>
      <c r="AL678" s="328"/>
      <c r="AM678" s="325">
        <v>0</v>
      </c>
      <c r="AN678" s="328"/>
      <c r="AO678" s="12">
        <v>288.83</v>
      </c>
      <c r="AP678" s="131" t="s">
        <v>207</v>
      </c>
      <c r="AQ678" s="12">
        <v>360.04</v>
      </c>
      <c r="AR678" s="131" t="s">
        <v>207</v>
      </c>
      <c r="AS678" s="12">
        <v>462.4</v>
      </c>
      <c r="AT678" s="131" t="s">
        <v>207</v>
      </c>
      <c r="AU678" s="11">
        <f t="shared" si="32"/>
        <v>3374.2200000000003</v>
      </c>
      <c r="AV678" s="329" t="s">
        <v>1641</v>
      </c>
      <c r="AW678" s="23" t="s">
        <v>211</v>
      </c>
      <c r="AX678" s="23" t="s">
        <v>208</v>
      </c>
      <c r="AY678" s="24">
        <v>3</v>
      </c>
      <c r="AZ678" s="24"/>
    </row>
    <row r="679" spans="1:52" ht="15" customHeight="1" x14ac:dyDescent="0.3">
      <c r="A679" s="114">
        <v>668</v>
      </c>
      <c r="B679" s="174" t="s">
        <v>1511</v>
      </c>
      <c r="C679" s="11" t="s">
        <v>1619</v>
      </c>
      <c r="D679" s="11" t="s">
        <v>288</v>
      </c>
      <c r="E679" s="29" t="s">
        <v>289</v>
      </c>
      <c r="F679" s="11" t="s">
        <v>1620</v>
      </c>
      <c r="G679" s="25" t="s">
        <v>145</v>
      </c>
      <c r="H679" s="23" t="s">
        <v>146</v>
      </c>
      <c r="I679" s="24">
        <v>1</v>
      </c>
      <c r="J679" s="23" t="s">
        <v>289</v>
      </c>
      <c r="K679" s="23">
        <v>100</v>
      </c>
      <c r="L679" s="23" t="s">
        <v>1621</v>
      </c>
      <c r="M679" s="23" t="s">
        <v>223</v>
      </c>
      <c r="N679" s="122" t="s">
        <v>218</v>
      </c>
      <c r="O679" s="23"/>
      <c r="P679" s="132" t="s">
        <v>218</v>
      </c>
      <c r="Q679" s="23"/>
      <c r="R679" s="23" t="s">
        <v>1639</v>
      </c>
      <c r="S679" s="23"/>
      <c r="T679" s="23"/>
      <c r="U679" s="354">
        <v>1132.04</v>
      </c>
      <c r="V679" s="24">
        <v>1215.01</v>
      </c>
      <c r="W679" s="24">
        <v>235.27</v>
      </c>
      <c r="X679" s="133" t="s">
        <v>207</v>
      </c>
      <c r="Y679" s="12">
        <v>220.52</v>
      </c>
      <c r="Z679" s="133" t="s">
        <v>207</v>
      </c>
      <c r="AA679" s="12">
        <v>201.47</v>
      </c>
      <c r="AB679" s="133" t="s">
        <v>207</v>
      </c>
      <c r="AC679" s="12">
        <v>146.84</v>
      </c>
      <c r="AD679" s="131" t="s">
        <v>207</v>
      </c>
      <c r="AE679" s="12">
        <v>39.9</v>
      </c>
      <c r="AF679" s="131" t="s">
        <v>207</v>
      </c>
      <c r="AG679" s="325">
        <v>0</v>
      </c>
      <c r="AH679" s="328"/>
      <c r="AI679" s="325">
        <v>0</v>
      </c>
      <c r="AJ679" s="328"/>
      <c r="AK679" s="325">
        <v>0</v>
      </c>
      <c r="AL679" s="328"/>
      <c r="AM679" s="325">
        <v>0</v>
      </c>
      <c r="AN679" s="328"/>
      <c r="AO679" s="12">
        <v>81.739999999999995</v>
      </c>
      <c r="AP679" s="131" t="s">
        <v>207</v>
      </c>
      <c r="AQ679" s="12">
        <v>120.6</v>
      </c>
      <c r="AR679" s="131" t="s">
        <v>207</v>
      </c>
      <c r="AS679" s="12">
        <v>147.38999999999999</v>
      </c>
      <c r="AT679" s="131" t="s">
        <v>207</v>
      </c>
      <c r="AU679" s="11">
        <f t="shared" si="32"/>
        <v>1193.73</v>
      </c>
      <c r="AV679" s="329" t="s">
        <v>1642</v>
      </c>
      <c r="AW679" s="23" t="s">
        <v>223</v>
      </c>
      <c r="AX679" s="23" t="s">
        <v>208</v>
      </c>
      <c r="AY679" s="24"/>
      <c r="AZ679" s="24"/>
    </row>
    <row r="680" spans="1:52" ht="15" customHeight="1" x14ac:dyDescent="0.3">
      <c r="A680" s="114">
        <v>669</v>
      </c>
      <c r="B680" s="174" t="s">
        <v>1512</v>
      </c>
      <c r="C680" s="11" t="s">
        <v>1619</v>
      </c>
      <c r="D680" s="11" t="s">
        <v>288</v>
      </c>
      <c r="E680" s="29" t="s">
        <v>289</v>
      </c>
      <c r="F680" s="11" t="s">
        <v>1620</v>
      </c>
      <c r="G680" s="25" t="s">
        <v>145</v>
      </c>
      <c r="H680" s="23" t="s">
        <v>146</v>
      </c>
      <c r="I680" s="24">
        <v>1</v>
      </c>
      <c r="J680" s="23" t="s">
        <v>289</v>
      </c>
      <c r="K680" s="23">
        <v>100</v>
      </c>
      <c r="L680" s="23" t="s">
        <v>1621</v>
      </c>
      <c r="M680" s="23" t="s">
        <v>223</v>
      </c>
      <c r="N680" s="122" t="s">
        <v>218</v>
      </c>
      <c r="O680" s="23"/>
      <c r="P680" s="132" t="s">
        <v>218</v>
      </c>
      <c r="Q680" s="23"/>
      <c r="R680" s="23" t="s">
        <v>1639</v>
      </c>
      <c r="S680" s="23"/>
      <c r="T680" s="23"/>
      <c r="U680" s="354">
        <v>1430.84</v>
      </c>
      <c r="V680" s="24">
        <v>1598.8</v>
      </c>
      <c r="W680" s="24">
        <v>310.97000000000003</v>
      </c>
      <c r="X680" s="133" t="s">
        <v>207</v>
      </c>
      <c r="Y680" s="12">
        <v>281.45</v>
      </c>
      <c r="Z680" s="133" t="s">
        <v>207</v>
      </c>
      <c r="AA680" s="12">
        <v>239.43</v>
      </c>
      <c r="AB680" s="133" t="s">
        <v>207</v>
      </c>
      <c r="AC680" s="133">
        <v>217.61</v>
      </c>
      <c r="AD680" s="131" t="s">
        <v>207</v>
      </c>
      <c r="AE680" s="12">
        <v>71</v>
      </c>
      <c r="AF680" s="131" t="s">
        <v>207</v>
      </c>
      <c r="AG680" s="325">
        <v>0</v>
      </c>
      <c r="AH680" s="328"/>
      <c r="AI680" s="325">
        <v>0</v>
      </c>
      <c r="AJ680" s="328"/>
      <c r="AK680" s="325">
        <v>0</v>
      </c>
      <c r="AL680" s="328"/>
      <c r="AM680" s="325">
        <v>0</v>
      </c>
      <c r="AN680" s="328"/>
      <c r="AO680" s="12">
        <v>122.03</v>
      </c>
      <c r="AP680" s="131" t="s">
        <v>207</v>
      </c>
      <c r="AQ680" s="12">
        <v>173.17</v>
      </c>
      <c r="AR680" s="131" t="s">
        <v>207</v>
      </c>
      <c r="AS680" s="12">
        <v>219.21</v>
      </c>
      <c r="AT680" s="131" t="s">
        <v>207</v>
      </c>
      <c r="AU680" s="11">
        <f t="shared" si="32"/>
        <v>1634.8700000000001</v>
      </c>
      <c r="AV680" s="329" t="s">
        <v>1643</v>
      </c>
      <c r="AW680" s="23" t="s">
        <v>223</v>
      </c>
      <c r="AX680" s="23" t="s">
        <v>208</v>
      </c>
      <c r="AY680" s="24"/>
      <c r="AZ680" s="24"/>
    </row>
    <row r="681" spans="1:52" ht="15" customHeight="1" x14ac:dyDescent="0.3">
      <c r="A681" s="114">
        <v>670</v>
      </c>
      <c r="B681" s="174" t="s">
        <v>1513</v>
      </c>
      <c r="C681" s="11" t="s">
        <v>1619</v>
      </c>
      <c r="D681" s="11" t="s">
        <v>288</v>
      </c>
      <c r="E681" s="29" t="s">
        <v>205</v>
      </c>
      <c r="F681" s="11" t="s">
        <v>1620</v>
      </c>
      <c r="G681" s="25" t="s">
        <v>145</v>
      </c>
      <c r="H681" s="23" t="s">
        <v>146</v>
      </c>
      <c r="I681" s="24">
        <v>3</v>
      </c>
      <c r="J681" s="23" t="s">
        <v>205</v>
      </c>
      <c r="K681" s="23">
        <v>100</v>
      </c>
      <c r="L681" s="23" t="s">
        <v>1621</v>
      </c>
      <c r="M681" s="23" t="s">
        <v>211</v>
      </c>
      <c r="N681" s="122" t="s">
        <v>218</v>
      </c>
      <c r="O681" s="23"/>
      <c r="P681" s="132" t="s">
        <v>218</v>
      </c>
      <c r="Q681" s="23"/>
      <c r="R681" s="23" t="s">
        <v>1622</v>
      </c>
      <c r="S681" s="23"/>
      <c r="T681" s="23"/>
      <c r="U681" s="354">
        <v>5455.36</v>
      </c>
      <c r="V681" s="24">
        <v>5836.9</v>
      </c>
      <c r="W681" s="24">
        <f>386.84+360.65+338.77</f>
        <v>1086.26</v>
      </c>
      <c r="X681" s="133" t="s">
        <v>207</v>
      </c>
      <c r="Y681" s="12">
        <f>345.44+333.96+313.79</f>
        <v>993.19</v>
      </c>
      <c r="Z681" s="133" t="s">
        <v>207</v>
      </c>
      <c r="AA681" s="12">
        <f>324.742+320.39+296.96</f>
        <v>942.0920000000001</v>
      </c>
      <c r="AB681" s="133" t="s">
        <v>207</v>
      </c>
      <c r="AC681" s="133">
        <f>275.07+268.11+257.37</f>
        <v>800.55000000000007</v>
      </c>
      <c r="AD681" s="131" t="s">
        <v>207</v>
      </c>
      <c r="AE681" s="12">
        <v>283.5</v>
      </c>
      <c r="AF681" s="131" t="s">
        <v>207</v>
      </c>
      <c r="AG681" s="325">
        <v>0</v>
      </c>
      <c r="AH681" s="328"/>
      <c r="AI681" s="325">
        <v>0</v>
      </c>
      <c r="AJ681" s="328"/>
      <c r="AK681" s="325">
        <v>0</v>
      </c>
      <c r="AL681" s="328"/>
      <c r="AM681" s="325">
        <v>0</v>
      </c>
      <c r="AN681" s="328"/>
      <c r="AO681" s="12">
        <v>422.55</v>
      </c>
      <c r="AP681" s="131" t="s">
        <v>207</v>
      </c>
      <c r="AQ681" s="12">
        <v>574.82000000000005</v>
      </c>
      <c r="AR681" s="131" t="s">
        <v>207</v>
      </c>
      <c r="AS681" s="12">
        <v>775.38</v>
      </c>
      <c r="AT681" s="131" t="s">
        <v>207</v>
      </c>
      <c r="AU681" s="11">
        <f t="shared" si="32"/>
        <v>5878.3420000000006</v>
      </c>
      <c r="AV681" s="329" t="s">
        <v>1644</v>
      </c>
      <c r="AW681" s="23" t="s">
        <v>211</v>
      </c>
      <c r="AX681" s="23" t="s">
        <v>208</v>
      </c>
      <c r="AY681" s="24">
        <v>3</v>
      </c>
      <c r="AZ681" s="24"/>
    </row>
    <row r="682" spans="1:52" ht="15" customHeight="1" x14ac:dyDescent="0.3">
      <c r="A682" s="114">
        <v>671</v>
      </c>
      <c r="B682" s="174" t="s">
        <v>1514</v>
      </c>
      <c r="C682" s="11" t="s">
        <v>1619</v>
      </c>
      <c r="D682" s="11" t="s">
        <v>288</v>
      </c>
      <c r="E682" s="29" t="s">
        <v>205</v>
      </c>
      <c r="F682" s="11" t="s">
        <v>1620</v>
      </c>
      <c r="G682" s="25" t="s">
        <v>145</v>
      </c>
      <c r="H682" s="23" t="s">
        <v>146</v>
      </c>
      <c r="I682" s="24">
        <v>1</v>
      </c>
      <c r="J682" s="23" t="s">
        <v>205</v>
      </c>
      <c r="K682" s="23">
        <v>100</v>
      </c>
      <c r="L682" s="23" t="s">
        <v>1621</v>
      </c>
      <c r="M682" s="23" t="s">
        <v>211</v>
      </c>
      <c r="N682" s="122" t="s">
        <v>218</v>
      </c>
      <c r="O682" s="23"/>
      <c r="P682" s="132" t="s">
        <v>218</v>
      </c>
      <c r="Q682" s="23"/>
      <c r="R682" s="23" t="s">
        <v>1622</v>
      </c>
      <c r="S682" s="23"/>
      <c r="T682" s="23"/>
      <c r="U682" s="354">
        <v>754.69</v>
      </c>
      <c r="V682" s="24">
        <v>894.46</v>
      </c>
      <c r="W682" s="24">
        <v>185.38</v>
      </c>
      <c r="X682" s="133" t="s">
        <v>207</v>
      </c>
      <c r="Y682" s="12">
        <v>158.72999999999999</v>
      </c>
      <c r="Z682" s="133" t="s">
        <v>207</v>
      </c>
      <c r="AA682" s="12">
        <v>143.37</v>
      </c>
      <c r="AB682" s="133" t="s">
        <v>207</v>
      </c>
      <c r="AC682" s="12">
        <v>124.49</v>
      </c>
      <c r="AD682" s="131" t="s">
        <v>207</v>
      </c>
      <c r="AE682" s="12">
        <v>41.72</v>
      </c>
      <c r="AF682" s="131" t="s">
        <v>207</v>
      </c>
      <c r="AG682" s="325">
        <v>0</v>
      </c>
      <c r="AH682" s="328"/>
      <c r="AI682" s="325">
        <v>0</v>
      </c>
      <c r="AJ682" s="328"/>
      <c r="AK682" s="325">
        <v>0</v>
      </c>
      <c r="AL682" s="328"/>
      <c r="AM682" s="325">
        <v>0</v>
      </c>
      <c r="AN682" s="328"/>
      <c r="AO682" s="12">
        <v>65.489999999999995</v>
      </c>
      <c r="AP682" s="131" t="s">
        <v>207</v>
      </c>
      <c r="AQ682" s="12">
        <v>91.54</v>
      </c>
      <c r="AR682" s="131" t="s">
        <v>207</v>
      </c>
      <c r="AS682" s="12">
        <v>113.76</v>
      </c>
      <c r="AT682" s="131" t="s">
        <v>207</v>
      </c>
      <c r="AU682" s="11">
        <f t="shared" si="32"/>
        <v>924.48</v>
      </c>
      <c r="AV682" s="329" t="s">
        <v>1645</v>
      </c>
      <c r="AW682" s="23" t="s">
        <v>211</v>
      </c>
      <c r="AX682" s="23" t="s">
        <v>208</v>
      </c>
      <c r="AY682" s="24">
        <v>1</v>
      </c>
      <c r="AZ682" s="24"/>
    </row>
    <row r="683" spans="1:52" ht="15" customHeight="1" x14ac:dyDescent="0.3">
      <c r="A683" s="114">
        <v>672</v>
      </c>
      <c r="B683" s="174" t="s">
        <v>1515</v>
      </c>
      <c r="C683" s="11" t="s">
        <v>1619</v>
      </c>
      <c r="D683" s="11" t="s">
        <v>288</v>
      </c>
      <c r="E683" s="29" t="s">
        <v>205</v>
      </c>
      <c r="F683" s="11" t="s">
        <v>1620</v>
      </c>
      <c r="G683" s="25" t="s">
        <v>145</v>
      </c>
      <c r="H683" s="23" t="s">
        <v>146</v>
      </c>
      <c r="I683" s="24">
        <v>3</v>
      </c>
      <c r="J683" s="23" t="s">
        <v>205</v>
      </c>
      <c r="K683" s="23">
        <v>100</v>
      </c>
      <c r="L683" s="23" t="s">
        <v>1621</v>
      </c>
      <c r="M683" s="23" t="s">
        <v>211</v>
      </c>
      <c r="N683" s="122" t="s">
        <v>218</v>
      </c>
      <c r="O683" s="23"/>
      <c r="P683" s="132" t="s">
        <v>218</v>
      </c>
      <c r="Q683" s="23"/>
      <c r="R683" s="23" t="s">
        <v>1622</v>
      </c>
      <c r="S683" s="23"/>
      <c r="T683" s="23"/>
      <c r="U683" s="354">
        <v>4430.2700000000004</v>
      </c>
      <c r="V683" s="24">
        <v>4627.8500000000004</v>
      </c>
      <c r="W683" s="24">
        <f>39.85+70.54+55.67</f>
        <v>166.06</v>
      </c>
      <c r="X683" s="133" t="s">
        <v>207</v>
      </c>
      <c r="Y683" s="12">
        <f>185.4+312.7+230.7</f>
        <v>728.8</v>
      </c>
      <c r="Z683" s="133" t="s">
        <v>207</v>
      </c>
      <c r="AA683" s="12">
        <f>161.52+298.77+220.802</f>
        <v>681.09199999999998</v>
      </c>
      <c r="AB683" s="133" t="s">
        <v>207</v>
      </c>
      <c r="AC683" s="12">
        <f>135.69+236.87+182.73</f>
        <v>555.29</v>
      </c>
      <c r="AD683" s="131" t="s">
        <v>207</v>
      </c>
      <c r="AE683" s="12">
        <f>50+89+49.8</f>
        <v>188.8</v>
      </c>
      <c r="AF683" s="131" t="s">
        <v>207</v>
      </c>
      <c r="AG683" s="325">
        <v>0</v>
      </c>
      <c r="AH683" s="328"/>
      <c r="AI683" s="325">
        <v>0</v>
      </c>
      <c r="AJ683" s="328"/>
      <c r="AK683" s="325">
        <v>0</v>
      </c>
      <c r="AL683" s="328"/>
      <c r="AM683" s="325">
        <v>0</v>
      </c>
      <c r="AN683" s="328"/>
      <c r="AO683" s="12">
        <v>312.24</v>
      </c>
      <c r="AP683" s="131" t="s">
        <v>207</v>
      </c>
      <c r="AQ683" s="12">
        <v>441.94</v>
      </c>
      <c r="AR683" s="131" t="s">
        <v>207</v>
      </c>
      <c r="AS683" s="12">
        <v>554.6</v>
      </c>
      <c r="AT683" s="131" t="s">
        <v>207</v>
      </c>
      <c r="AU683" s="11">
        <f t="shared" si="32"/>
        <v>3628.8220000000001</v>
      </c>
      <c r="AV683" s="329" t="s">
        <v>1646</v>
      </c>
      <c r="AW683" s="23" t="s">
        <v>211</v>
      </c>
      <c r="AX683" s="23" t="s">
        <v>208</v>
      </c>
      <c r="AY683" s="24">
        <v>3</v>
      </c>
      <c r="AZ683" s="24"/>
    </row>
    <row r="684" spans="1:52" ht="15" customHeight="1" x14ac:dyDescent="0.3">
      <c r="A684" s="114">
        <v>673</v>
      </c>
      <c r="B684" s="174" t="s">
        <v>1516</v>
      </c>
      <c r="C684" s="11" t="s">
        <v>1619</v>
      </c>
      <c r="D684" s="11" t="s">
        <v>288</v>
      </c>
      <c r="E684" s="29" t="s">
        <v>289</v>
      </c>
      <c r="F684" s="11" t="s">
        <v>1620</v>
      </c>
      <c r="G684" s="25" t="s">
        <v>145</v>
      </c>
      <c r="H684" s="23" t="s">
        <v>146</v>
      </c>
      <c r="I684" s="24">
        <v>1</v>
      </c>
      <c r="J684" s="23" t="s">
        <v>289</v>
      </c>
      <c r="K684" s="23">
        <v>100</v>
      </c>
      <c r="L684" s="23" t="s">
        <v>1621</v>
      </c>
      <c r="M684" s="23" t="s">
        <v>223</v>
      </c>
      <c r="N684" s="122" t="s">
        <v>218</v>
      </c>
      <c r="O684" s="23"/>
      <c r="P684" s="132" t="s">
        <v>218</v>
      </c>
      <c r="Q684" s="23"/>
      <c r="R684" s="23" t="s">
        <v>1639</v>
      </c>
      <c r="S684" s="23"/>
      <c r="T684" s="23"/>
      <c r="U684" s="354">
        <v>1106.8399999999999</v>
      </c>
      <c r="V684" s="24">
        <v>1234.05</v>
      </c>
      <c r="W684" s="24">
        <v>182.54</v>
      </c>
      <c r="X684" s="133" t="s">
        <v>207</v>
      </c>
      <c r="Y684" s="12">
        <v>230.99</v>
      </c>
      <c r="Z684" s="133" t="s">
        <v>207</v>
      </c>
      <c r="AA684" s="12">
        <v>196.77</v>
      </c>
      <c r="AB684" s="133" t="s">
        <v>207</v>
      </c>
      <c r="AC684" s="12">
        <v>162.99</v>
      </c>
      <c r="AD684" s="131" t="s">
        <v>207</v>
      </c>
      <c r="AE684" s="12">
        <v>40.1</v>
      </c>
      <c r="AF684" s="131" t="s">
        <v>207</v>
      </c>
      <c r="AG684" s="325">
        <v>0</v>
      </c>
      <c r="AH684" s="328"/>
      <c r="AI684" s="325">
        <v>0</v>
      </c>
      <c r="AJ684" s="328"/>
      <c r="AK684" s="325">
        <v>0</v>
      </c>
      <c r="AL684" s="328"/>
      <c r="AM684" s="325">
        <v>0</v>
      </c>
      <c r="AN684" s="328"/>
      <c r="AO684" s="12">
        <v>92.79</v>
      </c>
      <c r="AP684" s="131" t="s">
        <v>207</v>
      </c>
      <c r="AQ684" s="12">
        <v>132.63</v>
      </c>
      <c r="AR684" s="131" t="s">
        <v>207</v>
      </c>
      <c r="AS684" s="12">
        <v>168.69800000000001</v>
      </c>
      <c r="AT684" s="131" t="s">
        <v>207</v>
      </c>
      <c r="AU684" s="11">
        <f t="shared" si="32"/>
        <v>1207.508</v>
      </c>
      <c r="AV684" s="329" t="s">
        <v>1647</v>
      </c>
      <c r="AW684" s="23" t="s">
        <v>223</v>
      </c>
      <c r="AX684" s="23" t="s">
        <v>208</v>
      </c>
      <c r="AY684" s="24"/>
      <c r="AZ684" s="24"/>
    </row>
    <row r="685" spans="1:52" ht="15" customHeight="1" x14ac:dyDescent="0.3">
      <c r="A685" s="114">
        <v>674</v>
      </c>
      <c r="B685" s="174" t="s">
        <v>1517</v>
      </c>
      <c r="C685" s="11" t="s">
        <v>1619</v>
      </c>
      <c r="D685" s="11" t="s">
        <v>288</v>
      </c>
      <c r="E685" s="29" t="s">
        <v>289</v>
      </c>
      <c r="F685" s="11" t="s">
        <v>1620</v>
      </c>
      <c r="G685" s="25" t="s">
        <v>145</v>
      </c>
      <c r="H685" s="23" t="s">
        <v>146</v>
      </c>
      <c r="I685" s="24">
        <v>1</v>
      </c>
      <c r="J685" s="23" t="s">
        <v>205</v>
      </c>
      <c r="K685" s="23">
        <v>100</v>
      </c>
      <c r="L685" s="23" t="s">
        <v>1621</v>
      </c>
      <c r="M685" s="23" t="s">
        <v>223</v>
      </c>
      <c r="N685" s="122" t="s">
        <v>218</v>
      </c>
      <c r="O685" s="23"/>
      <c r="P685" s="132" t="s">
        <v>218</v>
      </c>
      <c r="Q685" s="23"/>
      <c r="R685" s="23" t="s">
        <v>1622</v>
      </c>
      <c r="S685" s="23"/>
      <c r="T685" s="23"/>
      <c r="U685" s="354">
        <v>1133.05</v>
      </c>
      <c r="V685" s="24">
        <v>1174.97</v>
      </c>
      <c r="W685" s="24">
        <v>216.88</v>
      </c>
      <c r="X685" s="133" t="s">
        <v>207</v>
      </c>
      <c r="Y685" s="12">
        <v>198.34</v>
      </c>
      <c r="Z685" s="133" t="s">
        <v>207</v>
      </c>
      <c r="AA685" s="12">
        <v>185.7</v>
      </c>
      <c r="AB685" s="133" t="s">
        <v>207</v>
      </c>
      <c r="AC685" s="12">
        <v>162.91</v>
      </c>
      <c r="AD685" s="131" t="s">
        <v>207</v>
      </c>
      <c r="AE685" s="12">
        <v>50.43</v>
      </c>
      <c r="AF685" s="131" t="s">
        <v>207</v>
      </c>
      <c r="AG685" s="325">
        <v>0</v>
      </c>
      <c r="AH685" s="328"/>
      <c r="AI685" s="325">
        <v>0</v>
      </c>
      <c r="AJ685" s="328"/>
      <c r="AK685" s="325">
        <v>0</v>
      </c>
      <c r="AL685" s="328"/>
      <c r="AM685" s="325">
        <v>0</v>
      </c>
      <c r="AN685" s="328"/>
      <c r="AO685" s="12">
        <v>81.61</v>
      </c>
      <c r="AP685" s="131" t="s">
        <v>207</v>
      </c>
      <c r="AQ685" s="12">
        <v>116.26</v>
      </c>
      <c r="AR685" s="131" t="s">
        <v>207</v>
      </c>
      <c r="AS685" s="12">
        <v>154.97</v>
      </c>
      <c r="AT685" s="131" t="s">
        <v>207</v>
      </c>
      <c r="AU685" s="11">
        <f t="shared" si="32"/>
        <v>1167.0999999999999</v>
      </c>
      <c r="AV685" s="329" t="s">
        <v>1624</v>
      </c>
      <c r="AW685" s="23" t="s">
        <v>223</v>
      </c>
      <c r="AX685" s="23" t="s">
        <v>208</v>
      </c>
      <c r="AY685" s="24">
        <v>1</v>
      </c>
      <c r="AZ685" s="24"/>
    </row>
    <row r="686" spans="1:52" ht="15" customHeight="1" x14ac:dyDescent="0.3">
      <c r="A686" s="114">
        <v>675</v>
      </c>
      <c r="B686" s="174" t="s">
        <v>1518</v>
      </c>
      <c r="C686" s="11" t="s">
        <v>1619</v>
      </c>
      <c r="D686" s="11" t="s">
        <v>288</v>
      </c>
      <c r="E686" s="29" t="s">
        <v>205</v>
      </c>
      <c r="F686" s="11" t="s">
        <v>1620</v>
      </c>
      <c r="G686" s="25" t="s">
        <v>145</v>
      </c>
      <c r="H686" s="23" t="s">
        <v>146</v>
      </c>
      <c r="I686" s="24">
        <v>1</v>
      </c>
      <c r="J686" s="23" t="s">
        <v>205</v>
      </c>
      <c r="K686" s="23">
        <v>100</v>
      </c>
      <c r="L686" s="23" t="s">
        <v>1621</v>
      </c>
      <c r="M686" s="23" t="s">
        <v>211</v>
      </c>
      <c r="N686" s="122" t="s">
        <v>218</v>
      </c>
      <c r="O686" s="23"/>
      <c r="P686" s="132" t="s">
        <v>218</v>
      </c>
      <c r="Q686" s="23"/>
      <c r="R686" s="23" t="s">
        <v>1622</v>
      </c>
      <c r="S686" s="23"/>
      <c r="T686" s="23"/>
      <c r="U686" s="354">
        <v>677.61</v>
      </c>
      <c r="V686" s="24">
        <v>759.63</v>
      </c>
      <c r="W686" s="24">
        <v>148.94999999999999</v>
      </c>
      <c r="X686" s="133" t="s">
        <v>207</v>
      </c>
      <c r="Y686" s="12">
        <v>126.09</v>
      </c>
      <c r="Z686" s="133" t="s">
        <v>207</v>
      </c>
      <c r="AA686" s="12">
        <v>114.73</v>
      </c>
      <c r="AB686" s="133" t="s">
        <v>207</v>
      </c>
      <c r="AC686" s="12">
        <v>101.19</v>
      </c>
      <c r="AD686" s="131" t="s">
        <v>207</v>
      </c>
      <c r="AE686" s="12">
        <v>39.94</v>
      </c>
      <c r="AF686" s="131" t="s">
        <v>207</v>
      </c>
      <c r="AG686" s="325">
        <v>0</v>
      </c>
      <c r="AH686" s="328"/>
      <c r="AI686" s="325">
        <v>0</v>
      </c>
      <c r="AJ686" s="328"/>
      <c r="AK686" s="325">
        <v>0</v>
      </c>
      <c r="AL686" s="328"/>
      <c r="AM686" s="325">
        <v>0</v>
      </c>
      <c r="AN686" s="328"/>
      <c r="AO686" s="12">
        <v>64.78</v>
      </c>
      <c r="AP686" s="131" t="s">
        <v>207</v>
      </c>
      <c r="AQ686" s="12">
        <v>75.22</v>
      </c>
      <c r="AR686" s="131" t="s">
        <v>207</v>
      </c>
      <c r="AS686" s="12">
        <v>101.85</v>
      </c>
      <c r="AT686" s="131" t="s">
        <v>207</v>
      </c>
      <c r="AU686" s="11">
        <f t="shared" si="32"/>
        <v>772.75</v>
      </c>
      <c r="AV686" s="329" t="s">
        <v>1648</v>
      </c>
      <c r="AW686" s="23" t="s">
        <v>211</v>
      </c>
      <c r="AX686" s="23" t="s">
        <v>208</v>
      </c>
      <c r="AY686" s="24">
        <v>1</v>
      </c>
      <c r="AZ686" s="24"/>
    </row>
    <row r="687" spans="1:52" ht="15" customHeight="1" x14ac:dyDescent="0.3">
      <c r="A687" s="114">
        <v>676</v>
      </c>
      <c r="B687" s="174" t="s">
        <v>1519</v>
      </c>
      <c r="C687" s="11" t="s">
        <v>1619</v>
      </c>
      <c r="D687" s="11" t="s">
        <v>288</v>
      </c>
      <c r="E687" s="29" t="s">
        <v>205</v>
      </c>
      <c r="F687" s="11" t="s">
        <v>1620</v>
      </c>
      <c r="G687" s="25" t="s">
        <v>145</v>
      </c>
      <c r="H687" s="23" t="s">
        <v>146</v>
      </c>
      <c r="I687" s="24">
        <v>2</v>
      </c>
      <c r="J687" s="23" t="s">
        <v>205</v>
      </c>
      <c r="K687" s="23">
        <v>100</v>
      </c>
      <c r="L687" s="23" t="s">
        <v>1621</v>
      </c>
      <c r="M687" s="23" t="s">
        <v>211</v>
      </c>
      <c r="N687" s="122" t="s">
        <v>218</v>
      </c>
      <c r="O687" s="23"/>
      <c r="P687" s="132" t="s">
        <v>218</v>
      </c>
      <c r="Q687" s="23"/>
      <c r="R687" s="23" t="s">
        <v>1622</v>
      </c>
      <c r="S687" s="23"/>
      <c r="T687" s="23"/>
      <c r="U687" s="354">
        <v>2409.92</v>
      </c>
      <c r="V687" s="24">
        <v>2580.02</v>
      </c>
      <c r="W687" s="24">
        <f>203.76+272.41</f>
        <v>476.17</v>
      </c>
      <c r="X687" s="133" t="s">
        <v>207</v>
      </c>
      <c r="Y687" s="12">
        <f>163.3+221.21</f>
        <v>384.51</v>
      </c>
      <c r="Z687" s="133" t="s">
        <v>207</v>
      </c>
      <c r="AA687" s="12">
        <f>173.4+227.38</f>
        <v>400.78</v>
      </c>
      <c r="AB687" s="133" t="s">
        <v>207</v>
      </c>
      <c r="AC687" s="12">
        <f>146.35+178.27</f>
        <v>324.62</v>
      </c>
      <c r="AD687" s="131" t="s">
        <v>207</v>
      </c>
      <c r="AE687" s="12">
        <v>104.1</v>
      </c>
      <c r="AF687" s="131" t="s">
        <v>207</v>
      </c>
      <c r="AG687" s="325">
        <v>0</v>
      </c>
      <c r="AH687" s="328"/>
      <c r="AI687" s="325">
        <v>0</v>
      </c>
      <c r="AJ687" s="328"/>
      <c r="AK687" s="325">
        <v>0</v>
      </c>
      <c r="AL687" s="328"/>
      <c r="AM687" s="325">
        <v>0</v>
      </c>
      <c r="AN687" s="328"/>
      <c r="AO687" s="12">
        <v>174.28</v>
      </c>
      <c r="AP687" s="131" t="s">
        <v>207</v>
      </c>
      <c r="AQ687" s="12">
        <v>238.72</v>
      </c>
      <c r="AR687" s="131" t="s">
        <v>207</v>
      </c>
      <c r="AS687" s="12">
        <v>297.72000000000003</v>
      </c>
      <c r="AT687" s="131" t="s">
        <v>207</v>
      </c>
      <c r="AU687" s="11">
        <f t="shared" si="32"/>
        <v>2400.8999999999996</v>
      </c>
      <c r="AV687" s="329" t="s">
        <v>1649</v>
      </c>
      <c r="AW687" s="23" t="s">
        <v>211</v>
      </c>
      <c r="AX687" s="23" t="s">
        <v>208</v>
      </c>
      <c r="AY687" s="24">
        <v>2</v>
      </c>
      <c r="AZ687" s="24"/>
    </row>
    <row r="688" spans="1:52" ht="15" customHeight="1" x14ac:dyDescent="0.3">
      <c r="A688" s="114">
        <v>677</v>
      </c>
      <c r="B688" s="174" t="s">
        <v>1520</v>
      </c>
      <c r="C688" s="11" t="s">
        <v>1619</v>
      </c>
      <c r="D688" s="11" t="s">
        <v>288</v>
      </c>
      <c r="E688" s="29" t="s">
        <v>205</v>
      </c>
      <c r="F688" s="11" t="s">
        <v>1620</v>
      </c>
      <c r="G688" s="25" t="s">
        <v>145</v>
      </c>
      <c r="H688" s="23" t="s">
        <v>146</v>
      </c>
      <c r="I688" s="24">
        <v>4</v>
      </c>
      <c r="J688" s="23" t="s">
        <v>205</v>
      </c>
      <c r="K688" s="23">
        <v>100</v>
      </c>
      <c r="L688" s="23" t="s">
        <v>1621</v>
      </c>
      <c r="M688" s="23" t="s">
        <v>211</v>
      </c>
      <c r="N688" s="122" t="s">
        <v>218</v>
      </c>
      <c r="O688" s="23"/>
      <c r="P688" s="132" t="s">
        <v>218</v>
      </c>
      <c r="Q688" s="23"/>
      <c r="R688" s="23" t="s">
        <v>1622</v>
      </c>
      <c r="S688" s="23"/>
      <c r="T688" s="23"/>
      <c r="U688" s="354">
        <v>6506.71</v>
      </c>
      <c r="V688" s="24">
        <v>6796.61</v>
      </c>
      <c r="W688" s="24">
        <f>234.455+266.9+388.5+352.3</f>
        <v>1242.155</v>
      </c>
      <c r="X688" s="133" t="s">
        <v>207</v>
      </c>
      <c r="Y688" s="12">
        <f>237.47+234.25+347.36+312</f>
        <v>1131.08</v>
      </c>
      <c r="Z688" s="133" t="s">
        <v>207</v>
      </c>
      <c r="AA688" s="12">
        <f>227.96+195.93+304.99+299.54</f>
        <v>1028.42</v>
      </c>
      <c r="AB688" s="133" t="s">
        <v>207</v>
      </c>
      <c r="AC688" s="12">
        <f>194.5+165+266+236</f>
        <v>861.5</v>
      </c>
      <c r="AD688" s="131" t="s">
        <v>207</v>
      </c>
      <c r="AE688" s="12">
        <v>289.49</v>
      </c>
      <c r="AF688" s="131" t="s">
        <v>207</v>
      </c>
      <c r="AG688" s="325">
        <v>0</v>
      </c>
      <c r="AH688" s="328"/>
      <c r="AI688" s="325">
        <v>0</v>
      </c>
      <c r="AJ688" s="328"/>
      <c r="AK688" s="325">
        <v>0</v>
      </c>
      <c r="AL688" s="328"/>
      <c r="AM688" s="325">
        <v>0</v>
      </c>
      <c r="AN688" s="328"/>
      <c r="AO688" s="12">
        <v>486.96</v>
      </c>
      <c r="AP688" s="131" t="s">
        <v>207</v>
      </c>
      <c r="AQ688" s="12">
        <v>708.76</v>
      </c>
      <c r="AR688" s="131" t="s">
        <v>207</v>
      </c>
      <c r="AS688" s="12">
        <v>896.73</v>
      </c>
      <c r="AT688" s="131" t="s">
        <v>207</v>
      </c>
      <c r="AU688" s="11">
        <f t="shared" si="32"/>
        <v>6645.0949999999993</v>
      </c>
      <c r="AV688" s="329" t="s">
        <v>1650</v>
      </c>
      <c r="AW688" s="23" t="s">
        <v>211</v>
      </c>
      <c r="AX688" s="23" t="s">
        <v>208</v>
      </c>
      <c r="AY688" s="24">
        <v>4</v>
      </c>
      <c r="AZ688" s="24"/>
    </row>
    <row r="689" spans="1:52" ht="15" customHeight="1" x14ac:dyDescent="0.3">
      <c r="A689" s="114">
        <v>678</v>
      </c>
      <c r="B689" s="174" t="s">
        <v>1521</v>
      </c>
      <c r="C689" s="11" t="s">
        <v>1619</v>
      </c>
      <c r="D689" s="11" t="s">
        <v>288</v>
      </c>
      <c r="E689" s="29" t="s">
        <v>205</v>
      </c>
      <c r="F689" s="11" t="s">
        <v>1620</v>
      </c>
      <c r="G689" s="25" t="s">
        <v>145</v>
      </c>
      <c r="H689" s="23" t="s">
        <v>146</v>
      </c>
      <c r="I689" s="24">
        <v>1</v>
      </c>
      <c r="J689" s="23" t="s">
        <v>205</v>
      </c>
      <c r="K689" s="23">
        <v>80</v>
      </c>
      <c r="L689" s="23" t="s">
        <v>1621</v>
      </c>
      <c r="M689" s="23" t="s">
        <v>211</v>
      </c>
      <c r="N689" s="122" t="s">
        <v>218</v>
      </c>
      <c r="O689" s="23"/>
      <c r="P689" s="132" t="s">
        <v>218</v>
      </c>
      <c r="Q689" s="23"/>
      <c r="R689" s="23" t="s">
        <v>1622</v>
      </c>
      <c r="S689" s="23"/>
      <c r="T689" s="23"/>
      <c r="U689" s="354">
        <v>409.12</v>
      </c>
      <c r="V689" s="24">
        <v>474.44</v>
      </c>
      <c r="W689" s="24">
        <v>95.13</v>
      </c>
      <c r="X689" s="133" t="s">
        <v>207</v>
      </c>
      <c r="Y689" s="12">
        <v>83.86</v>
      </c>
      <c r="Z689" s="133" t="s">
        <v>207</v>
      </c>
      <c r="AA689" s="12">
        <v>77.150000000000006</v>
      </c>
      <c r="AB689" s="133" t="s">
        <v>207</v>
      </c>
      <c r="AC689" s="12">
        <v>58.95</v>
      </c>
      <c r="AD689" s="131" t="s">
        <v>207</v>
      </c>
      <c r="AE689" s="12">
        <v>18.66</v>
      </c>
      <c r="AF689" s="131" t="s">
        <v>207</v>
      </c>
      <c r="AG689" s="325">
        <v>0</v>
      </c>
      <c r="AH689" s="328"/>
      <c r="AI689" s="325">
        <v>0</v>
      </c>
      <c r="AJ689" s="328"/>
      <c r="AK689" s="325">
        <v>0</v>
      </c>
      <c r="AL689" s="328"/>
      <c r="AM689" s="325">
        <v>0</v>
      </c>
      <c r="AN689" s="328"/>
      <c r="AO689" s="12">
        <v>33.299999999999997</v>
      </c>
      <c r="AP689" s="131" t="s">
        <v>207</v>
      </c>
      <c r="AQ689" s="12">
        <v>42.67</v>
      </c>
      <c r="AR689" s="131" t="s">
        <v>207</v>
      </c>
      <c r="AS689" s="12">
        <v>61.2</v>
      </c>
      <c r="AT689" s="131" t="s">
        <v>207</v>
      </c>
      <c r="AU689" s="11">
        <f t="shared" si="32"/>
        <v>470.92</v>
      </c>
      <c r="AV689" s="329" t="s">
        <v>1625</v>
      </c>
      <c r="AW689" s="23" t="s">
        <v>211</v>
      </c>
      <c r="AX689" s="23" t="s">
        <v>208</v>
      </c>
      <c r="AY689" s="24">
        <v>1</v>
      </c>
      <c r="AZ689" s="24"/>
    </row>
    <row r="690" spans="1:52" ht="15" customHeight="1" x14ac:dyDescent="0.3">
      <c r="A690" s="114">
        <v>679</v>
      </c>
      <c r="B690" s="174" t="s">
        <v>1522</v>
      </c>
      <c r="C690" s="11" t="s">
        <v>1619</v>
      </c>
      <c r="D690" s="11" t="s">
        <v>288</v>
      </c>
      <c r="E690" s="29" t="s">
        <v>205</v>
      </c>
      <c r="F690" s="11" t="s">
        <v>1620</v>
      </c>
      <c r="G690" s="25" t="s">
        <v>145</v>
      </c>
      <c r="H690" s="23" t="s">
        <v>146</v>
      </c>
      <c r="I690" s="24">
        <v>1</v>
      </c>
      <c r="J690" s="23" t="s">
        <v>205</v>
      </c>
      <c r="K690" s="23">
        <v>80</v>
      </c>
      <c r="L690" s="23" t="s">
        <v>1621</v>
      </c>
      <c r="M690" s="23" t="s">
        <v>211</v>
      </c>
      <c r="N690" s="122" t="s">
        <v>218</v>
      </c>
      <c r="O690" s="23"/>
      <c r="P690" s="132" t="s">
        <v>218</v>
      </c>
      <c r="Q690" s="23"/>
      <c r="R690" s="23" t="s">
        <v>1622</v>
      </c>
      <c r="S690" s="23"/>
      <c r="T690" s="23"/>
      <c r="U690" s="354">
        <v>377.39</v>
      </c>
      <c r="V690" s="24">
        <v>453.78</v>
      </c>
      <c r="W690" s="24">
        <v>95.76</v>
      </c>
      <c r="X690" s="133" t="s">
        <v>207</v>
      </c>
      <c r="Y690" s="12">
        <v>85.84</v>
      </c>
      <c r="Z690" s="133" t="s">
        <v>207</v>
      </c>
      <c r="AA690" s="12">
        <v>80.150000000000006</v>
      </c>
      <c r="AB690" s="133" t="s">
        <v>207</v>
      </c>
      <c r="AC690" s="12">
        <v>64.44</v>
      </c>
      <c r="AD690" s="131" t="s">
        <v>207</v>
      </c>
      <c r="AE690" s="12">
        <v>21.11</v>
      </c>
      <c r="AF690" s="131" t="s">
        <v>207</v>
      </c>
      <c r="AG690" s="325">
        <v>0</v>
      </c>
      <c r="AH690" s="328"/>
      <c r="AI690" s="325">
        <v>0</v>
      </c>
      <c r="AJ690" s="328"/>
      <c r="AK690" s="325">
        <v>0</v>
      </c>
      <c r="AL690" s="328"/>
      <c r="AM690" s="325">
        <v>0</v>
      </c>
      <c r="AN690" s="328"/>
      <c r="AO690" s="12">
        <v>32.26</v>
      </c>
      <c r="AP690" s="131" t="s">
        <v>207</v>
      </c>
      <c r="AQ690" s="12">
        <v>51.27</v>
      </c>
      <c r="AR690" s="131" t="s">
        <v>207</v>
      </c>
      <c r="AS690" s="12">
        <v>65.597999999999999</v>
      </c>
      <c r="AT690" s="131" t="s">
        <v>207</v>
      </c>
      <c r="AU690" s="11">
        <f t="shared" si="32"/>
        <v>496.428</v>
      </c>
      <c r="AV690" s="329" t="s">
        <v>1651</v>
      </c>
      <c r="AW690" s="23" t="s">
        <v>211</v>
      </c>
      <c r="AX690" s="23" t="s">
        <v>208</v>
      </c>
      <c r="AY690" s="24">
        <v>1</v>
      </c>
      <c r="AZ690" s="24"/>
    </row>
    <row r="691" spans="1:52" ht="15" customHeight="1" x14ac:dyDescent="0.3">
      <c r="A691" s="114">
        <v>680</v>
      </c>
      <c r="B691" s="174" t="s">
        <v>1523</v>
      </c>
      <c r="C691" s="11" t="s">
        <v>1619</v>
      </c>
      <c r="D691" s="11" t="s">
        <v>288</v>
      </c>
      <c r="E691" s="29" t="s">
        <v>205</v>
      </c>
      <c r="F691" s="11" t="s">
        <v>1620</v>
      </c>
      <c r="G691" s="25" t="s">
        <v>145</v>
      </c>
      <c r="H691" s="23" t="s">
        <v>146</v>
      </c>
      <c r="I691" s="24">
        <v>1</v>
      </c>
      <c r="J691" s="23" t="s">
        <v>205</v>
      </c>
      <c r="K691" s="23">
        <v>80</v>
      </c>
      <c r="L691" s="23" t="s">
        <v>1621</v>
      </c>
      <c r="M691" s="23" t="s">
        <v>211</v>
      </c>
      <c r="N691" s="122" t="s">
        <v>218</v>
      </c>
      <c r="O691" s="23"/>
      <c r="P691" s="132" t="s">
        <v>218</v>
      </c>
      <c r="Q691" s="23"/>
      <c r="R691" s="23" t="s">
        <v>1622</v>
      </c>
      <c r="S691" s="23"/>
      <c r="T691" s="23"/>
      <c r="U691" s="354">
        <v>810.57</v>
      </c>
      <c r="V691" s="24">
        <v>951.91</v>
      </c>
      <c r="W691" s="24">
        <v>193.92400000000001</v>
      </c>
      <c r="X691" s="133" t="s">
        <v>207</v>
      </c>
      <c r="Y691" s="12">
        <v>162.32</v>
      </c>
      <c r="Z691" s="133" t="s">
        <v>207</v>
      </c>
      <c r="AA691" s="12">
        <v>145.51</v>
      </c>
      <c r="AB691" s="133" t="s">
        <v>207</v>
      </c>
      <c r="AC691" s="12">
        <v>140.13</v>
      </c>
      <c r="AD691" s="131" t="s">
        <v>207</v>
      </c>
      <c r="AE691" s="12">
        <v>48.12</v>
      </c>
      <c r="AF691" s="131" t="s">
        <v>207</v>
      </c>
      <c r="AG691" s="325">
        <v>0</v>
      </c>
      <c r="AH691" s="328"/>
      <c r="AI691" s="325">
        <v>0</v>
      </c>
      <c r="AJ691" s="328"/>
      <c r="AK691" s="325">
        <v>0</v>
      </c>
      <c r="AL691" s="328"/>
      <c r="AM691" s="325">
        <v>0</v>
      </c>
      <c r="AN691" s="328"/>
      <c r="AO691" s="12">
        <v>69.760000000000005</v>
      </c>
      <c r="AP691" s="131" t="s">
        <v>207</v>
      </c>
      <c r="AQ691" s="12">
        <v>86.17</v>
      </c>
      <c r="AR691" s="131" t="s">
        <v>207</v>
      </c>
      <c r="AS691" s="12">
        <v>120.54600000000001</v>
      </c>
      <c r="AT691" s="131" t="s">
        <v>207</v>
      </c>
      <c r="AU691" s="11">
        <f t="shared" si="32"/>
        <v>966.48</v>
      </c>
      <c r="AV691" s="329" t="s">
        <v>1645</v>
      </c>
      <c r="AW691" s="23" t="s">
        <v>211</v>
      </c>
      <c r="AX691" s="23" t="s">
        <v>208</v>
      </c>
      <c r="AY691" s="24">
        <v>1</v>
      </c>
      <c r="AZ691" s="24"/>
    </row>
    <row r="692" spans="1:52" ht="15" customHeight="1" x14ac:dyDescent="0.3">
      <c r="A692" s="114">
        <v>681</v>
      </c>
      <c r="B692" s="174" t="s">
        <v>1524</v>
      </c>
      <c r="C692" s="11" t="s">
        <v>1619</v>
      </c>
      <c r="D692" s="11" t="s">
        <v>288</v>
      </c>
      <c r="E692" s="29" t="s">
        <v>205</v>
      </c>
      <c r="F692" s="11" t="s">
        <v>1620</v>
      </c>
      <c r="G692" s="25" t="s">
        <v>145</v>
      </c>
      <c r="H692" s="23" t="s">
        <v>146</v>
      </c>
      <c r="I692" s="24">
        <v>1</v>
      </c>
      <c r="J692" s="23" t="s">
        <v>205</v>
      </c>
      <c r="K692" s="23">
        <v>100</v>
      </c>
      <c r="L692" s="23" t="s">
        <v>1621</v>
      </c>
      <c r="M692" s="23" t="s">
        <v>211</v>
      </c>
      <c r="N692" s="122" t="s">
        <v>218</v>
      </c>
      <c r="O692" s="23"/>
      <c r="P692" s="132" t="s">
        <v>218</v>
      </c>
      <c r="Q692" s="23"/>
      <c r="R692" s="23" t="s">
        <v>1622</v>
      </c>
      <c r="S692" s="23"/>
      <c r="T692" s="23"/>
      <c r="U692" s="354">
        <v>1124.94</v>
      </c>
      <c r="V692" s="24">
        <v>1291.8900000000001</v>
      </c>
      <c r="W692" s="24">
        <v>280.24</v>
      </c>
      <c r="X692" s="133" t="s">
        <v>207</v>
      </c>
      <c r="Y692" s="12">
        <v>189.7</v>
      </c>
      <c r="Z692" s="133" t="s">
        <v>207</v>
      </c>
      <c r="AA692" s="12">
        <v>167.53</v>
      </c>
      <c r="AB692" s="133" t="s">
        <v>207</v>
      </c>
      <c r="AC692" s="12">
        <v>164.73</v>
      </c>
      <c r="AD692" s="131" t="s">
        <v>207</v>
      </c>
      <c r="AE692" s="12">
        <v>51.32</v>
      </c>
      <c r="AF692" s="131" t="s">
        <v>207</v>
      </c>
      <c r="AG692" s="325">
        <v>0</v>
      </c>
      <c r="AH692" s="328"/>
      <c r="AI692" s="325">
        <v>0</v>
      </c>
      <c r="AJ692" s="328"/>
      <c r="AK692" s="325">
        <v>0</v>
      </c>
      <c r="AL692" s="328"/>
      <c r="AM692" s="325">
        <v>0</v>
      </c>
      <c r="AN692" s="328"/>
      <c r="AO692" s="12">
        <v>86.64</v>
      </c>
      <c r="AP692" s="131" t="s">
        <v>207</v>
      </c>
      <c r="AQ692" s="12">
        <v>137.53</v>
      </c>
      <c r="AR692" s="131" t="s">
        <v>207</v>
      </c>
      <c r="AS692" s="12">
        <v>167.8</v>
      </c>
      <c r="AT692" s="131" t="s">
        <v>207</v>
      </c>
      <c r="AU692" s="11">
        <f t="shared" si="32"/>
        <v>1245.49</v>
      </c>
      <c r="AV692" s="329" t="s">
        <v>1652</v>
      </c>
      <c r="AW692" s="23" t="s">
        <v>211</v>
      </c>
      <c r="AX692" s="23" t="s">
        <v>208</v>
      </c>
      <c r="AY692" s="24">
        <v>1</v>
      </c>
      <c r="AZ692" s="24"/>
    </row>
    <row r="693" spans="1:52" ht="15" customHeight="1" x14ac:dyDescent="0.3">
      <c r="A693" s="114">
        <v>682</v>
      </c>
      <c r="B693" s="174" t="s">
        <v>1525</v>
      </c>
      <c r="C693" s="11" t="s">
        <v>1619</v>
      </c>
      <c r="D693" s="11" t="s">
        <v>288</v>
      </c>
      <c r="E693" s="29" t="s">
        <v>205</v>
      </c>
      <c r="F693" s="11" t="s">
        <v>1620</v>
      </c>
      <c r="G693" s="25" t="s">
        <v>145</v>
      </c>
      <c r="H693" s="23" t="s">
        <v>146</v>
      </c>
      <c r="I693" s="24">
        <v>2</v>
      </c>
      <c r="J693" s="23" t="s">
        <v>205</v>
      </c>
      <c r="K693" s="23">
        <v>100</v>
      </c>
      <c r="L693" s="23" t="s">
        <v>1621</v>
      </c>
      <c r="M693" s="23" t="s">
        <v>211</v>
      </c>
      <c r="N693" s="122" t="s">
        <v>218</v>
      </c>
      <c r="O693" s="23"/>
      <c r="P693" s="132" t="s">
        <v>218</v>
      </c>
      <c r="Q693" s="23"/>
      <c r="R693" s="23" t="s">
        <v>1622</v>
      </c>
      <c r="S693" s="23"/>
      <c r="T693" s="23"/>
      <c r="U693" s="354">
        <v>2867.45</v>
      </c>
      <c r="V693" s="24">
        <v>3149.83</v>
      </c>
      <c r="W693" s="24">
        <f>421.31+182.09</f>
        <v>603.4</v>
      </c>
      <c r="X693" s="133" t="s">
        <v>207</v>
      </c>
      <c r="Y693" s="12">
        <f>373.82+160.46</f>
        <v>534.28</v>
      </c>
      <c r="Z693" s="133" t="s">
        <v>207</v>
      </c>
      <c r="AA693" s="12">
        <f>336.61+143.44</f>
        <v>480.05</v>
      </c>
      <c r="AB693" s="133" t="s">
        <v>207</v>
      </c>
      <c r="AC693" s="12">
        <f>302.63+114.08</f>
        <v>416.71</v>
      </c>
      <c r="AD693" s="131" t="s">
        <v>207</v>
      </c>
      <c r="AE693" s="12">
        <v>136.11000000000001</v>
      </c>
      <c r="AF693" s="131" t="s">
        <v>207</v>
      </c>
      <c r="AG693" s="325">
        <v>0</v>
      </c>
      <c r="AH693" s="328"/>
      <c r="AI693" s="325">
        <v>0</v>
      </c>
      <c r="AJ693" s="328"/>
      <c r="AK693" s="325">
        <v>0</v>
      </c>
      <c r="AL693" s="328"/>
      <c r="AM693" s="325">
        <v>0</v>
      </c>
      <c r="AN693" s="328"/>
      <c r="AO693" s="12">
        <v>182.12</v>
      </c>
      <c r="AP693" s="131" t="s">
        <v>207</v>
      </c>
      <c r="AQ693" s="12">
        <v>297.70999999999998</v>
      </c>
      <c r="AR693" s="131" t="s">
        <v>207</v>
      </c>
      <c r="AS693" s="12">
        <v>381.16</v>
      </c>
      <c r="AT693" s="131" t="s">
        <v>207</v>
      </c>
      <c r="AU693" s="11">
        <f t="shared" si="32"/>
        <v>3031.5399999999995</v>
      </c>
      <c r="AV693" s="329" t="s">
        <v>1653</v>
      </c>
      <c r="AW693" s="23" t="s">
        <v>211</v>
      </c>
      <c r="AX693" s="23" t="s">
        <v>208</v>
      </c>
      <c r="AY693" s="24">
        <v>2</v>
      </c>
      <c r="AZ693" s="24"/>
    </row>
    <row r="694" spans="1:52" ht="15" customHeight="1" x14ac:dyDescent="0.3">
      <c r="A694" s="114">
        <v>683</v>
      </c>
      <c r="B694" s="174" t="s">
        <v>1526</v>
      </c>
      <c r="C694" s="11" t="s">
        <v>1619</v>
      </c>
      <c r="D694" s="11" t="s">
        <v>288</v>
      </c>
      <c r="E694" s="29" t="s">
        <v>205</v>
      </c>
      <c r="F694" s="11" t="s">
        <v>1620</v>
      </c>
      <c r="G694" s="25" t="s">
        <v>145</v>
      </c>
      <c r="H694" s="23" t="s">
        <v>146</v>
      </c>
      <c r="I694" s="24">
        <v>2</v>
      </c>
      <c r="J694" s="23" t="s">
        <v>205</v>
      </c>
      <c r="K694" s="23">
        <v>100</v>
      </c>
      <c r="L694" s="23" t="s">
        <v>1621</v>
      </c>
      <c r="M694" s="23" t="s">
        <v>211</v>
      </c>
      <c r="N694" s="122" t="s">
        <v>218</v>
      </c>
      <c r="O694" s="23"/>
      <c r="P694" s="132" t="s">
        <v>218</v>
      </c>
      <c r="Q694" s="23"/>
      <c r="R694" s="23" t="s">
        <v>1622</v>
      </c>
      <c r="S694" s="23"/>
      <c r="T694" s="23"/>
      <c r="U694" s="354">
        <v>2487.02</v>
      </c>
      <c r="V694" s="24">
        <v>3019.44</v>
      </c>
      <c r="W694" s="24">
        <f>328.3+259.05</f>
        <v>587.35</v>
      </c>
      <c r="X694" s="133" t="s">
        <v>207</v>
      </c>
      <c r="Y694" s="12">
        <f>292.69+219.8</f>
        <v>512.49</v>
      </c>
      <c r="Z694" s="133" t="s">
        <v>207</v>
      </c>
      <c r="AA694" s="12">
        <f>257.99+201.22</f>
        <v>459.21000000000004</v>
      </c>
      <c r="AB694" s="133" t="s">
        <v>207</v>
      </c>
      <c r="AC694" s="12">
        <f>192.75+152.09</f>
        <v>344.84000000000003</v>
      </c>
      <c r="AD694" s="131" t="s">
        <v>207</v>
      </c>
      <c r="AE694" s="12">
        <v>100.05</v>
      </c>
      <c r="AF694" s="131" t="s">
        <v>207</v>
      </c>
      <c r="AG694" s="325">
        <v>0</v>
      </c>
      <c r="AH694" s="328"/>
      <c r="AI694" s="325">
        <v>0</v>
      </c>
      <c r="AJ694" s="328"/>
      <c r="AK694" s="325">
        <v>0</v>
      </c>
      <c r="AL694" s="328"/>
      <c r="AM694" s="325">
        <v>0</v>
      </c>
      <c r="AN694" s="328"/>
      <c r="AO694" s="12">
        <v>230.36</v>
      </c>
      <c r="AP694" s="131" t="s">
        <v>207</v>
      </c>
      <c r="AQ694" s="12">
        <v>292.75</v>
      </c>
      <c r="AR694" s="131" t="s">
        <v>207</v>
      </c>
      <c r="AS694" s="12">
        <v>354.86900000000003</v>
      </c>
      <c r="AT694" s="131" t="s">
        <v>207</v>
      </c>
      <c r="AU694" s="11">
        <f t="shared" si="32"/>
        <v>2881.9190000000003</v>
      </c>
      <c r="AV694" s="329" t="s">
        <v>1654</v>
      </c>
      <c r="AW694" s="23" t="s">
        <v>211</v>
      </c>
      <c r="AX694" s="23" t="s">
        <v>208</v>
      </c>
      <c r="AY694" s="24">
        <v>2</v>
      </c>
      <c r="AZ694" s="24"/>
    </row>
    <row r="695" spans="1:52" ht="15" customHeight="1" x14ac:dyDescent="0.3">
      <c r="A695" s="114">
        <v>684</v>
      </c>
      <c r="B695" s="174" t="s">
        <v>1527</v>
      </c>
      <c r="C695" s="11" t="s">
        <v>1619</v>
      </c>
      <c r="D695" s="11" t="s">
        <v>288</v>
      </c>
      <c r="E695" s="29" t="s">
        <v>205</v>
      </c>
      <c r="F695" s="11" t="s">
        <v>1620</v>
      </c>
      <c r="G695" s="25" t="s">
        <v>145</v>
      </c>
      <c r="H695" s="23" t="s">
        <v>146</v>
      </c>
      <c r="I695" s="24">
        <v>2</v>
      </c>
      <c r="J695" s="23" t="s">
        <v>205</v>
      </c>
      <c r="K695" s="23">
        <v>100</v>
      </c>
      <c r="L695" s="23" t="s">
        <v>1621</v>
      </c>
      <c r="M695" s="23" t="s">
        <v>211</v>
      </c>
      <c r="N695" s="122" t="s">
        <v>218</v>
      </c>
      <c r="O695" s="23"/>
      <c r="P695" s="132" t="s">
        <v>218</v>
      </c>
      <c r="Q695" s="23"/>
      <c r="R695" s="23" t="s">
        <v>1622</v>
      </c>
      <c r="S695" s="23"/>
      <c r="T695" s="23"/>
      <c r="U695" s="354">
        <v>2676.22</v>
      </c>
      <c r="V695" s="24">
        <v>3186.61</v>
      </c>
      <c r="W695" s="24">
        <f>151.87+440.06</f>
        <v>591.93000000000006</v>
      </c>
      <c r="X695" s="133" t="s">
        <v>207</v>
      </c>
      <c r="Y695" s="12">
        <f>132.91+378.37</f>
        <v>511.28</v>
      </c>
      <c r="Z695" s="133" t="s">
        <v>207</v>
      </c>
      <c r="AA695" s="12">
        <f>112.1+343.51</f>
        <v>455.61</v>
      </c>
      <c r="AB695" s="133" t="s">
        <v>207</v>
      </c>
      <c r="AC695" s="12">
        <f>95.46+288.06</f>
        <v>383.52</v>
      </c>
      <c r="AD695" s="131" t="s">
        <v>207</v>
      </c>
      <c r="AE695" s="12">
        <v>136.02000000000001</v>
      </c>
      <c r="AF695" s="131" t="s">
        <v>207</v>
      </c>
      <c r="AG695" s="325">
        <v>0</v>
      </c>
      <c r="AH695" s="328"/>
      <c r="AI695" s="325">
        <v>0</v>
      </c>
      <c r="AJ695" s="328"/>
      <c r="AK695" s="325">
        <v>0</v>
      </c>
      <c r="AL695" s="328"/>
      <c r="AM695" s="325">
        <v>0</v>
      </c>
      <c r="AN695" s="328"/>
      <c r="AO695" s="12">
        <v>210.9</v>
      </c>
      <c r="AP695" s="131" t="s">
        <v>207</v>
      </c>
      <c r="AQ695" s="12">
        <v>334.17</v>
      </c>
      <c r="AR695" s="131" t="s">
        <v>207</v>
      </c>
      <c r="AS695" s="12">
        <v>412.65600000000001</v>
      </c>
      <c r="AT695" s="131" t="s">
        <v>207</v>
      </c>
      <c r="AU695" s="11">
        <f t="shared" si="32"/>
        <v>3036.0860000000002</v>
      </c>
      <c r="AV695" s="329" t="s">
        <v>1655</v>
      </c>
      <c r="AW695" s="23" t="s">
        <v>211</v>
      </c>
      <c r="AX695" s="23" t="s">
        <v>208</v>
      </c>
      <c r="AY695" s="24">
        <v>2</v>
      </c>
      <c r="AZ695" s="24"/>
    </row>
    <row r="696" spans="1:52" ht="15" customHeight="1" x14ac:dyDescent="0.3">
      <c r="A696" s="114">
        <v>685</v>
      </c>
      <c r="B696" s="174" t="s">
        <v>1528</v>
      </c>
      <c r="C696" s="11" t="s">
        <v>1619</v>
      </c>
      <c r="D696" s="11" t="s">
        <v>288</v>
      </c>
      <c r="E696" s="29" t="s">
        <v>205</v>
      </c>
      <c r="F696" s="11" t="s">
        <v>1620</v>
      </c>
      <c r="G696" s="25" t="s">
        <v>145</v>
      </c>
      <c r="H696" s="23" t="s">
        <v>146</v>
      </c>
      <c r="I696" s="24">
        <v>2</v>
      </c>
      <c r="J696" s="23" t="s">
        <v>205</v>
      </c>
      <c r="K696" s="23">
        <v>100</v>
      </c>
      <c r="L696" s="23" t="s">
        <v>1621</v>
      </c>
      <c r="M696" s="23" t="s">
        <v>211</v>
      </c>
      <c r="N696" s="122" t="s">
        <v>218</v>
      </c>
      <c r="O696" s="23"/>
      <c r="P696" s="132" t="s">
        <v>218</v>
      </c>
      <c r="Q696" s="23"/>
      <c r="R696" s="23" t="s">
        <v>1622</v>
      </c>
      <c r="S696" s="23"/>
      <c r="T696" s="23"/>
      <c r="U696" s="354">
        <v>2872.47</v>
      </c>
      <c r="V696" s="24">
        <v>2985.23</v>
      </c>
      <c r="W696" s="24">
        <f>370.04+124.54</f>
        <v>494.58000000000004</v>
      </c>
      <c r="X696" s="133" t="s">
        <v>207</v>
      </c>
      <c r="Y696" s="12">
        <f>302.33+103.97</f>
        <v>406.29999999999995</v>
      </c>
      <c r="Z696" s="133" t="s">
        <v>207</v>
      </c>
      <c r="AA696" s="12">
        <f>306.3+100</f>
        <v>406.3</v>
      </c>
      <c r="AB696" s="133" t="s">
        <v>207</v>
      </c>
      <c r="AC696" s="12">
        <f>250.268+95.71</f>
        <v>345.97800000000001</v>
      </c>
      <c r="AD696" s="131" t="s">
        <v>207</v>
      </c>
      <c r="AE696" s="12">
        <v>119.58</v>
      </c>
      <c r="AF696" s="131" t="s">
        <v>207</v>
      </c>
      <c r="AG696" s="325">
        <v>0</v>
      </c>
      <c r="AH696" s="328"/>
      <c r="AI696" s="325">
        <v>0</v>
      </c>
      <c r="AJ696" s="328"/>
      <c r="AK696" s="325">
        <v>0</v>
      </c>
      <c r="AL696" s="328"/>
      <c r="AM696" s="325">
        <v>0</v>
      </c>
      <c r="AN696" s="328"/>
      <c r="AO696" s="12">
        <v>223.59</v>
      </c>
      <c r="AP696" s="131" t="s">
        <v>207</v>
      </c>
      <c r="AQ696" s="12">
        <v>318.86</v>
      </c>
      <c r="AR696" s="131" t="s">
        <v>207</v>
      </c>
      <c r="AS696" s="12">
        <v>405.31400000000002</v>
      </c>
      <c r="AT696" s="131" t="s">
        <v>207</v>
      </c>
      <c r="AU696" s="11">
        <f t="shared" si="32"/>
        <v>2720.502</v>
      </c>
      <c r="AV696" s="329" t="s">
        <v>1656</v>
      </c>
      <c r="AW696" s="23" t="s">
        <v>211</v>
      </c>
      <c r="AX696" s="23" t="s">
        <v>208</v>
      </c>
      <c r="AY696" s="24">
        <v>2</v>
      </c>
      <c r="AZ696" s="24"/>
    </row>
    <row r="697" spans="1:52" ht="15" customHeight="1" x14ac:dyDescent="0.3">
      <c r="A697" s="114">
        <v>686</v>
      </c>
      <c r="B697" s="174" t="s">
        <v>1529</v>
      </c>
      <c r="C697" s="11" t="s">
        <v>1619</v>
      </c>
      <c r="D697" s="11" t="s">
        <v>288</v>
      </c>
      <c r="E697" s="29" t="s">
        <v>289</v>
      </c>
      <c r="F697" s="11" t="s">
        <v>1620</v>
      </c>
      <c r="G697" s="25" t="s">
        <v>145</v>
      </c>
      <c r="H697" s="23" t="s">
        <v>146</v>
      </c>
      <c r="I697" s="24">
        <v>1</v>
      </c>
      <c r="J697" s="23" t="s">
        <v>289</v>
      </c>
      <c r="K697" s="23">
        <v>100</v>
      </c>
      <c r="L697" s="23" t="s">
        <v>1621</v>
      </c>
      <c r="M697" s="23" t="s">
        <v>223</v>
      </c>
      <c r="N697" s="122" t="s">
        <v>218</v>
      </c>
      <c r="O697" s="23"/>
      <c r="P697" s="132" t="s">
        <v>218</v>
      </c>
      <c r="Q697" s="23"/>
      <c r="R697" s="23" t="s">
        <v>1639</v>
      </c>
      <c r="S697" s="23"/>
      <c r="T697" s="23"/>
      <c r="U697" s="354">
        <v>1368.06</v>
      </c>
      <c r="V697" s="24">
        <v>1470.21</v>
      </c>
      <c r="W697" s="24">
        <v>298.70999999999998</v>
      </c>
      <c r="X697" s="133" t="s">
        <v>207</v>
      </c>
      <c r="Y697" s="12">
        <v>258.08999999999997</v>
      </c>
      <c r="Z697" s="133" t="s">
        <v>207</v>
      </c>
      <c r="AA697" s="12">
        <v>248.57</v>
      </c>
      <c r="AB697" s="133" t="s">
        <v>207</v>
      </c>
      <c r="AC697" s="12">
        <v>212.75</v>
      </c>
      <c r="AD697" s="131" t="s">
        <v>207</v>
      </c>
      <c r="AE697" s="12">
        <v>60.09</v>
      </c>
      <c r="AF697" s="131" t="s">
        <v>207</v>
      </c>
      <c r="AG697" s="325">
        <v>0</v>
      </c>
      <c r="AH697" s="328"/>
      <c r="AI697" s="325">
        <v>0</v>
      </c>
      <c r="AJ697" s="328"/>
      <c r="AK697" s="325">
        <v>0</v>
      </c>
      <c r="AL697" s="328"/>
      <c r="AM697" s="325">
        <v>0</v>
      </c>
      <c r="AN697" s="328"/>
      <c r="AO697" s="12">
        <v>120.17</v>
      </c>
      <c r="AP697" s="131" t="s">
        <v>207</v>
      </c>
      <c r="AQ697" s="12">
        <v>151.07</v>
      </c>
      <c r="AR697" s="131" t="s">
        <v>207</v>
      </c>
      <c r="AS697" s="12">
        <v>216.58</v>
      </c>
      <c r="AT697" s="131" t="s">
        <v>207</v>
      </c>
      <c r="AU697" s="11">
        <f t="shared" si="32"/>
        <v>1566.0299999999997</v>
      </c>
      <c r="AV697" s="329" t="s">
        <v>1657</v>
      </c>
      <c r="AW697" s="23" t="s">
        <v>223</v>
      </c>
      <c r="AX697" s="23" t="s">
        <v>208</v>
      </c>
      <c r="AY697" s="24"/>
      <c r="AZ697" s="24"/>
    </row>
    <row r="698" spans="1:52" ht="15" customHeight="1" x14ac:dyDescent="0.3">
      <c r="A698" s="114">
        <v>687</v>
      </c>
      <c r="B698" s="174" t="s">
        <v>1530</v>
      </c>
      <c r="C698" s="11" t="s">
        <v>1619</v>
      </c>
      <c r="D698" s="11" t="s">
        <v>288</v>
      </c>
      <c r="E698" s="29" t="s">
        <v>205</v>
      </c>
      <c r="F698" s="11" t="s">
        <v>1620</v>
      </c>
      <c r="G698" s="25" t="s">
        <v>145</v>
      </c>
      <c r="H698" s="23" t="s">
        <v>146</v>
      </c>
      <c r="I698" s="24">
        <v>1</v>
      </c>
      <c r="J698" s="23" t="s">
        <v>205</v>
      </c>
      <c r="K698" s="23">
        <v>100</v>
      </c>
      <c r="L698" s="23" t="s">
        <v>1621</v>
      </c>
      <c r="M698" s="23" t="s">
        <v>211</v>
      </c>
      <c r="N698" s="122" t="s">
        <v>218</v>
      </c>
      <c r="O698" s="23"/>
      <c r="P698" s="132" t="s">
        <v>218</v>
      </c>
      <c r="Q698" s="23"/>
      <c r="R698" s="23" t="s">
        <v>1622</v>
      </c>
      <c r="S698" s="23"/>
      <c r="T698" s="23"/>
      <c r="U698" s="354">
        <v>2151.7199999999998</v>
      </c>
      <c r="V698" s="24">
        <v>2647.95</v>
      </c>
      <c r="W698" s="24">
        <v>427.62</v>
      </c>
      <c r="X698" s="133" t="s">
        <v>207</v>
      </c>
      <c r="Y698" s="12">
        <v>364.26</v>
      </c>
      <c r="Z698" s="133" t="s">
        <v>207</v>
      </c>
      <c r="AA698" s="12">
        <v>342.2</v>
      </c>
      <c r="AB698" s="133" t="s">
        <v>207</v>
      </c>
      <c r="AC698" s="12">
        <v>292.23</v>
      </c>
      <c r="AD698" s="131" t="s">
        <v>207</v>
      </c>
      <c r="AE698" s="12">
        <v>89.34</v>
      </c>
      <c r="AF698" s="131" t="s">
        <v>207</v>
      </c>
      <c r="AG698" s="325">
        <v>0</v>
      </c>
      <c r="AH698" s="328"/>
      <c r="AI698" s="325">
        <v>0</v>
      </c>
      <c r="AJ698" s="328"/>
      <c r="AK698" s="325">
        <v>0</v>
      </c>
      <c r="AL698" s="328"/>
      <c r="AM698" s="325">
        <v>0</v>
      </c>
      <c r="AN698" s="328"/>
      <c r="AO698" s="12">
        <v>169.08</v>
      </c>
      <c r="AP698" s="131" t="s">
        <v>207</v>
      </c>
      <c r="AQ698" s="12">
        <v>256.52</v>
      </c>
      <c r="AR698" s="131" t="s">
        <v>207</v>
      </c>
      <c r="AS698" s="12">
        <v>313.79000000000002</v>
      </c>
      <c r="AT698" s="131" t="s">
        <v>207</v>
      </c>
      <c r="AU698" s="11">
        <f t="shared" si="32"/>
        <v>2255.04</v>
      </c>
      <c r="AV698" s="329" t="s">
        <v>1658</v>
      </c>
      <c r="AW698" s="23" t="s">
        <v>211</v>
      </c>
      <c r="AX698" s="23" t="s">
        <v>208</v>
      </c>
      <c r="AY698" s="24">
        <v>1</v>
      </c>
      <c r="AZ698" s="24"/>
    </row>
    <row r="699" spans="1:52" ht="15" customHeight="1" x14ac:dyDescent="0.3">
      <c r="A699" s="114">
        <v>688</v>
      </c>
      <c r="B699" s="174" t="s">
        <v>1531</v>
      </c>
      <c r="C699" s="11" t="s">
        <v>1619</v>
      </c>
      <c r="D699" s="11" t="s">
        <v>288</v>
      </c>
      <c r="E699" s="29" t="s">
        <v>205</v>
      </c>
      <c r="F699" s="11" t="s">
        <v>1620</v>
      </c>
      <c r="G699" s="25" t="s">
        <v>145</v>
      </c>
      <c r="H699" s="23" t="s">
        <v>146</v>
      </c>
      <c r="I699" s="24">
        <v>1</v>
      </c>
      <c r="J699" s="23" t="s">
        <v>205</v>
      </c>
      <c r="K699" s="23">
        <v>100</v>
      </c>
      <c r="L699" s="23" t="s">
        <v>1621</v>
      </c>
      <c r="M699" s="23" t="s">
        <v>211</v>
      </c>
      <c r="N699" s="122" t="s">
        <v>218</v>
      </c>
      <c r="O699" s="23"/>
      <c r="P699" s="132" t="s">
        <v>218</v>
      </c>
      <c r="Q699" s="23"/>
      <c r="R699" s="23" t="s">
        <v>1622</v>
      </c>
      <c r="S699" s="23"/>
      <c r="T699" s="23"/>
      <c r="U699" s="354">
        <v>1799.61</v>
      </c>
      <c r="V699" s="24">
        <v>1989.72</v>
      </c>
      <c r="W699" s="24">
        <v>396.2</v>
      </c>
      <c r="X699" s="133" t="s">
        <v>207</v>
      </c>
      <c r="Y699" s="12">
        <v>342.5</v>
      </c>
      <c r="Z699" s="133" t="s">
        <v>207</v>
      </c>
      <c r="AA699" s="12">
        <v>327.84</v>
      </c>
      <c r="AB699" s="133" t="s">
        <v>207</v>
      </c>
      <c r="AC699" s="12">
        <v>280.05</v>
      </c>
      <c r="AD699" s="131" t="s">
        <v>207</v>
      </c>
      <c r="AE699" s="12">
        <v>73.09</v>
      </c>
      <c r="AF699" s="131" t="s">
        <v>207</v>
      </c>
      <c r="AG699" s="325">
        <v>0</v>
      </c>
      <c r="AH699" s="328"/>
      <c r="AI699" s="325">
        <v>0</v>
      </c>
      <c r="AJ699" s="328"/>
      <c r="AK699" s="325">
        <v>0</v>
      </c>
      <c r="AL699" s="328"/>
      <c r="AM699" s="325">
        <v>0</v>
      </c>
      <c r="AN699" s="328"/>
      <c r="AO699" s="12">
        <v>158.41999999999999</v>
      </c>
      <c r="AP699" s="131" t="s">
        <v>207</v>
      </c>
      <c r="AQ699" s="12">
        <v>201.33799999999999</v>
      </c>
      <c r="AR699" s="131" t="s">
        <v>207</v>
      </c>
      <c r="AS699" s="12">
        <v>88.91</v>
      </c>
      <c r="AT699" s="131" t="s">
        <v>207</v>
      </c>
      <c r="AU699" s="11">
        <f t="shared" si="32"/>
        <v>1868.348</v>
      </c>
      <c r="AV699" s="329" t="s">
        <v>1659</v>
      </c>
      <c r="AW699" s="23" t="s">
        <v>211</v>
      </c>
      <c r="AX699" s="23" t="s">
        <v>208</v>
      </c>
      <c r="AY699" s="24">
        <v>1</v>
      </c>
      <c r="AZ699" s="24"/>
    </row>
    <row r="700" spans="1:52" ht="15" customHeight="1" x14ac:dyDescent="0.3">
      <c r="A700" s="114">
        <v>689</v>
      </c>
      <c r="B700" s="174" t="s">
        <v>1532</v>
      </c>
      <c r="C700" s="11" t="s">
        <v>1619</v>
      </c>
      <c r="D700" s="11" t="s">
        <v>288</v>
      </c>
      <c r="E700" s="29" t="s">
        <v>205</v>
      </c>
      <c r="F700" s="11" t="s">
        <v>1620</v>
      </c>
      <c r="G700" s="25" t="s">
        <v>145</v>
      </c>
      <c r="H700" s="23" t="s">
        <v>146</v>
      </c>
      <c r="I700" s="24">
        <v>2</v>
      </c>
      <c r="J700" s="23" t="s">
        <v>205</v>
      </c>
      <c r="K700" s="23">
        <v>100</v>
      </c>
      <c r="L700" s="23" t="s">
        <v>1621</v>
      </c>
      <c r="M700" s="23" t="s">
        <v>211</v>
      </c>
      <c r="N700" s="122" t="s">
        <v>218</v>
      </c>
      <c r="O700" s="23"/>
      <c r="P700" s="132" t="s">
        <v>218</v>
      </c>
      <c r="Q700" s="23"/>
      <c r="R700" s="23" t="s">
        <v>1622</v>
      </c>
      <c r="S700" s="23"/>
      <c r="T700" s="23"/>
      <c r="U700" s="354">
        <v>2351.37</v>
      </c>
      <c r="V700" s="24">
        <v>2506.7800000000002</v>
      </c>
      <c r="W700" s="24">
        <v>338.29</v>
      </c>
      <c r="X700" s="330" t="s">
        <v>449</v>
      </c>
      <c r="Y700" s="24">
        <v>338.29</v>
      </c>
      <c r="Z700" s="330" t="s">
        <v>449</v>
      </c>
      <c r="AA700" s="24">
        <v>338.29</v>
      </c>
      <c r="AB700" s="330" t="s">
        <v>449</v>
      </c>
      <c r="AC700" s="24">
        <v>338.29</v>
      </c>
      <c r="AD700" s="327" t="s">
        <v>449</v>
      </c>
      <c r="AE700" s="24">
        <v>338.29</v>
      </c>
      <c r="AF700" s="327" t="s">
        <v>449</v>
      </c>
      <c r="AG700" s="327">
        <v>0</v>
      </c>
      <c r="AH700" s="24"/>
      <c r="AI700" s="327">
        <v>0</v>
      </c>
      <c r="AJ700" s="24"/>
      <c r="AK700" s="327">
        <v>0</v>
      </c>
      <c r="AL700" s="24"/>
      <c r="AM700" s="327">
        <v>0</v>
      </c>
      <c r="AN700" s="24"/>
      <c r="AO700" s="24">
        <v>338.29</v>
      </c>
      <c r="AP700" s="330" t="s">
        <v>449</v>
      </c>
      <c r="AQ700" s="24">
        <v>338.29</v>
      </c>
      <c r="AR700" s="327" t="s">
        <v>449</v>
      </c>
      <c r="AS700" s="24">
        <v>338.29</v>
      </c>
      <c r="AT700" s="330" t="s">
        <v>449</v>
      </c>
      <c r="AU700" s="29">
        <f t="shared" si="32"/>
        <v>2706.32</v>
      </c>
      <c r="AV700" s="329" t="s">
        <v>1660</v>
      </c>
      <c r="AW700" s="23" t="s">
        <v>211</v>
      </c>
      <c r="AX700" s="23" t="s">
        <v>208</v>
      </c>
      <c r="AY700" s="24">
        <v>4</v>
      </c>
      <c r="AZ700" s="24"/>
    </row>
    <row r="701" spans="1:52" ht="15" customHeight="1" x14ac:dyDescent="0.3">
      <c r="A701" s="114">
        <v>690</v>
      </c>
      <c r="B701" s="174" t="s">
        <v>1533</v>
      </c>
      <c r="C701" s="11" t="s">
        <v>1619</v>
      </c>
      <c r="D701" s="11" t="s">
        <v>288</v>
      </c>
      <c r="E701" s="29" t="s">
        <v>205</v>
      </c>
      <c r="F701" s="11" t="s">
        <v>1620</v>
      </c>
      <c r="G701" s="25" t="s">
        <v>145</v>
      </c>
      <c r="H701" s="23" t="s">
        <v>146</v>
      </c>
      <c r="I701" s="24">
        <v>2</v>
      </c>
      <c r="J701" s="23" t="s">
        <v>205</v>
      </c>
      <c r="K701" s="23">
        <v>100</v>
      </c>
      <c r="L701" s="23" t="s">
        <v>1621</v>
      </c>
      <c r="M701" s="23" t="s">
        <v>211</v>
      </c>
      <c r="N701" s="122" t="s">
        <v>218</v>
      </c>
      <c r="O701" s="23"/>
      <c r="P701" s="132" t="s">
        <v>218</v>
      </c>
      <c r="Q701" s="23"/>
      <c r="R701" s="23" t="s">
        <v>1622</v>
      </c>
      <c r="S701" s="23"/>
      <c r="T701" s="23"/>
      <c r="U701" s="354">
        <v>2187.1999999999998</v>
      </c>
      <c r="V701" s="24">
        <v>2516.63</v>
      </c>
      <c r="W701" s="24">
        <f>235.503+250.67</f>
        <v>486.173</v>
      </c>
      <c r="X701" s="133" t="s">
        <v>207</v>
      </c>
      <c r="Y701" s="12">
        <f>208.27+223.16</f>
        <v>431.43</v>
      </c>
      <c r="Z701" s="133" t="s">
        <v>207</v>
      </c>
      <c r="AA701" s="12">
        <f>191.98+213.25</f>
        <v>405.23</v>
      </c>
      <c r="AB701" s="133" t="s">
        <v>207</v>
      </c>
      <c r="AC701" s="12">
        <v>320.58</v>
      </c>
      <c r="AD701" s="131" t="s">
        <v>207</v>
      </c>
      <c r="AE701" s="12">
        <v>119.52</v>
      </c>
      <c r="AF701" s="131" t="s">
        <v>207</v>
      </c>
      <c r="AG701" s="325">
        <v>0</v>
      </c>
      <c r="AH701" s="328"/>
      <c r="AI701" s="325">
        <v>0</v>
      </c>
      <c r="AJ701" s="328"/>
      <c r="AK701" s="325">
        <v>0</v>
      </c>
      <c r="AL701" s="328"/>
      <c r="AM701" s="325">
        <v>0</v>
      </c>
      <c r="AN701" s="328"/>
      <c r="AO701" s="12">
        <v>176.68</v>
      </c>
      <c r="AP701" s="131" t="s">
        <v>207</v>
      </c>
      <c r="AQ701" s="12">
        <v>237.33</v>
      </c>
      <c r="AR701" s="131" t="s">
        <v>207</v>
      </c>
      <c r="AS701" s="12">
        <v>316.8</v>
      </c>
      <c r="AT701" s="131" t="s">
        <v>207</v>
      </c>
      <c r="AU701" s="11">
        <f t="shared" si="32"/>
        <v>2493.7430000000004</v>
      </c>
      <c r="AV701" s="329" t="s">
        <v>1661</v>
      </c>
      <c r="AW701" s="23" t="s">
        <v>211</v>
      </c>
      <c r="AX701" s="23" t="s">
        <v>208</v>
      </c>
      <c r="AY701" s="24">
        <v>2</v>
      </c>
      <c r="AZ701" s="24"/>
    </row>
    <row r="702" spans="1:52" ht="15" customHeight="1" x14ac:dyDescent="0.3">
      <c r="A702" s="114">
        <v>691</v>
      </c>
      <c r="B702" s="174" t="s">
        <v>1534</v>
      </c>
      <c r="C702" s="11" t="s">
        <v>1619</v>
      </c>
      <c r="D702" s="11" t="s">
        <v>288</v>
      </c>
      <c r="E702" s="29" t="s">
        <v>205</v>
      </c>
      <c r="F702" s="11" t="s">
        <v>1620</v>
      </c>
      <c r="G702" s="25" t="s">
        <v>145</v>
      </c>
      <c r="H702" s="23" t="s">
        <v>146</v>
      </c>
      <c r="I702" s="24">
        <v>2</v>
      </c>
      <c r="J702" s="23" t="s">
        <v>205</v>
      </c>
      <c r="K702" s="23">
        <v>100</v>
      </c>
      <c r="L702" s="23" t="s">
        <v>1621</v>
      </c>
      <c r="M702" s="23" t="s">
        <v>211</v>
      </c>
      <c r="N702" s="122" t="s">
        <v>218</v>
      </c>
      <c r="O702" s="23"/>
      <c r="P702" s="132" t="s">
        <v>218</v>
      </c>
      <c r="Q702" s="23"/>
      <c r="R702" s="23" t="s">
        <v>1622</v>
      </c>
      <c r="S702" s="23"/>
      <c r="T702" s="23"/>
      <c r="U702" s="354">
        <v>2492.88</v>
      </c>
      <c r="V702" s="24">
        <v>2735.19</v>
      </c>
      <c r="W702" s="24">
        <f>228.77+279.81</f>
        <v>508.58000000000004</v>
      </c>
      <c r="X702" s="133" t="s">
        <v>207</v>
      </c>
      <c r="Y702" s="12">
        <f>188.65+250.15</f>
        <v>438.8</v>
      </c>
      <c r="Z702" s="133" t="s">
        <v>207</v>
      </c>
      <c r="AA702" s="12">
        <f>201.1+215.53</f>
        <v>416.63</v>
      </c>
      <c r="AB702" s="133" t="s">
        <v>207</v>
      </c>
      <c r="AC702" s="12">
        <v>364.2</v>
      </c>
      <c r="AD702" s="131" t="s">
        <v>207</v>
      </c>
      <c r="AE702" s="12">
        <v>117.1</v>
      </c>
      <c r="AF702" s="131" t="s">
        <v>207</v>
      </c>
      <c r="AG702" s="325">
        <v>0</v>
      </c>
      <c r="AH702" s="328"/>
      <c r="AI702" s="325">
        <v>0</v>
      </c>
      <c r="AJ702" s="328"/>
      <c r="AK702" s="325">
        <v>0</v>
      </c>
      <c r="AL702" s="328"/>
      <c r="AM702" s="325">
        <v>0</v>
      </c>
      <c r="AN702" s="328"/>
      <c r="AO702" s="12">
        <v>212.84</v>
      </c>
      <c r="AP702" s="131" t="s">
        <v>207</v>
      </c>
      <c r="AQ702" s="12">
        <v>279.38</v>
      </c>
      <c r="AR702" s="131" t="s">
        <v>207</v>
      </c>
      <c r="AS702" s="12">
        <v>326.38</v>
      </c>
      <c r="AT702" s="131" t="s">
        <v>207</v>
      </c>
      <c r="AU702" s="11">
        <f t="shared" si="32"/>
        <v>2663.9100000000003</v>
      </c>
      <c r="AV702" s="329" t="s">
        <v>1662</v>
      </c>
      <c r="AW702" s="23" t="s">
        <v>211</v>
      </c>
      <c r="AX702" s="23" t="s">
        <v>208</v>
      </c>
      <c r="AY702" s="24">
        <v>2</v>
      </c>
      <c r="AZ702" s="24"/>
    </row>
    <row r="703" spans="1:52" ht="15" customHeight="1" x14ac:dyDescent="0.3">
      <c r="A703" s="114">
        <v>692</v>
      </c>
      <c r="B703" s="174" t="s">
        <v>1535</v>
      </c>
      <c r="C703" s="11" t="s">
        <v>1619</v>
      </c>
      <c r="D703" s="11" t="s">
        <v>288</v>
      </c>
      <c r="E703" s="29" t="s">
        <v>205</v>
      </c>
      <c r="F703" s="11" t="s">
        <v>1620</v>
      </c>
      <c r="G703" s="25" t="s">
        <v>145</v>
      </c>
      <c r="H703" s="23" t="s">
        <v>146</v>
      </c>
      <c r="I703" s="24">
        <v>1</v>
      </c>
      <c r="J703" s="23" t="s">
        <v>205</v>
      </c>
      <c r="K703" s="23">
        <v>100</v>
      </c>
      <c r="L703" s="23" t="s">
        <v>1621</v>
      </c>
      <c r="M703" s="23" t="s">
        <v>211</v>
      </c>
      <c r="N703" s="122" t="s">
        <v>218</v>
      </c>
      <c r="O703" s="23"/>
      <c r="P703" s="132" t="s">
        <v>218</v>
      </c>
      <c r="Q703" s="23"/>
      <c r="R703" s="23" t="s">
        <v>1622</v>
      </c>
      <c r="S703" s="23"/>
      <c r="T703" s="23"/>
      <c r="U703" s="354">
        <v>1459.86</v>
      </c>
      <c r="V703" s="24">
        <v>1703.16</v>
      </c>
      <c r="W703" s="24">
        <v>308.75</v>
      </c>
      <c r="X703" s="133" t="s">
        <v>207</v>
      </c>
      <c r="Y703" s="12">
        <v>267.07</v>
      </c>
      <c r="Z703" s="133" t="s">
        <v>207</v>
      </c>
      <c r="AA703" s="12">
        <v>281.303</v>
      </c>
      <c r="AB703" s="133" t="s">
        <v>207</v>
      </c>
      <c r="AC703" s="12">
        <v>239.31</v>
      </c>
      <c r="AD703" s="131" t="s">
        <v>207</v>
      </c>
      <c r="AE703" s="12">
        <v>90.79</v>
      </c>
      <c r="AF703" s="131" t="s">
        <v>207</v>
      </c>
      <c r="AG703" s="325">
        <v>0</v>
      </c>
      <c r="AH703" s="328"/>
      <c r="AI703" s="325">
        <v>0</v>
      </c>
      <c r="AJ703" s="328"/>
      <c r="AK703" s="325">
        <v>0</v>
      </c>
      <c r="AL703" s="328"/>
      <c r="AM703" s="325">
        <v>0</v>
      </c>
      <c r="AN703" s="328"/>
      <c r="AO703" s="12">
        <v>154.52000000000001</v>
      </c>
      <c r="AP703" s="131" t="s">
        <v>207</v>
      </c>
      <c r="AQ703" s="12">
        <v>198.84</v>
      </c>
      <c r="AR703" s="131" t="s">
        <v>207</v>
      </c>
      <c r="AS703" s="12">
        <v>244.71</v>
      </c>
      <c r="AT703" s="131" t="s">
        <v>207</v>
      </c>
      <c r="AU703" s="11">
        <f t="shared" si="32"/>
        <v>1785.2929999999999</v>
      </c>
      <c r="AV703" s="329" t="s">
        <v>1663</v>
      </c>
      <c r="AW703" s="23" t="s">
        <v>211</v>
      </c>
      <c r="AX703" s="23" t="s">
        <v>208</v>
      </c>
      <c r="AY703" s="24">
        <v>1</v>
      </c>
      <c r="AZ703" s="24"/>
    </row>
    <row r="704" spans="1:52" ht="15" customHeight="1" x14ac:dyDescent="0.3">
      <c r="A704" s="114">
        <v>693</v>
      </c>
      <c r="B704" s="174" t="s">
        <v>1536</v>
      </c>
      <c r="C704" s="11" t="s">
        <v>1619</v>
      </c>
      <c r="D704" s="11" t="s">
        <v>288</v>
      </c>
      <c r="E704" s="29" t="s">
        <v>205</v>
      </c>
      <c r="F704" s="11" t="s">
        <v>1620</v>
      </c>
      <c r="G704" s="25" t="s">
        <v>145</v>
      </c>
      <c r="H704" s="23" t="s">
        <v>146</v>
      </c>
      <c r="I704" s="24">
        <v>3</v>
      </c>
      <c r="J704" s="23" t="s">
        <v>205</v>
      </c>
      <c r="K704" s="23">
        <v>100</v>
      </c>
      <c r="L704" s="23" t="s">
        <v>1621</v>
      </c>
      <c r="M704" s="23" t="s">
        <v>211</v>
      </c>
      <c r="N704" s="122" t="s">
        <v>218</v>
      </c>
      <c r="O704" s="23"/>
      <c r="P704" s="132" t="s">
        <v>218</v>
      </c>
      <c r="Q704" s="23"/>
      <c r="R704" s="23" t="s">
        <v>1622</v>
      </c>
      <c r="S704" s="23"/>
      <c r="T704" s="23"/>
      <c r="U704" s="354">
        <v>4996.45</v>
      </c>
      <c r="V704" s="24">
        <v>5073.57</v>
      </c>
      <c r="W704" s="24">
        <f>111.83+329.42+313.78</f>
        <v>755.03</v>
      </c>
      <c r="X704" s="133" t="s">
        <v>207</v>
      </c>
      <c r="Y704" s="12">
        <f>99.21+290.58+266.41</f>
        <v>656.2</v>
      </c>
      <c r="Z704" s="133" t="s">
        <v>207</v>
      </c>
      <c r="AA704" s="12">
        <f>97.51+271.85+250.89</f>
        <v>620.25</v>
      </c>
      <c r="AB704" s="133" t="s">
        <v>207</v>
      </c>
      <c r="AC704" s="12">
        <f>74.77+214.83+202.34</f>
        <v>491.94000000000005</v>
      </c>
      <c r="AD704" s="131" t="s">
        <v>207</v>
      </c>
      <c r="AE704" s="12">
        <f>31+74.4+71.48</f>
        <v>176.88</v>
      </c>
      <c r="AF704" s="131" t="s">
        <v>207</v>
      </c>
      <c r="AG704" s="325">
        <v>0</v>
      </c>
      <c r="AH704" s="328"/>
      <c r="AI704" s="325">
        <v>0</v>
      </c>
      <c r="AJ704" s="328"/>
      <c r="AK704" s="325">
        <v>0</v>
      </c>
      <c r="AL704" s="328"/>
      <c r="AM704" s="325">
        <v>0</v>
      </c>
      <c r="AN704" s="328"/>
      <c r="AO704" s="12">
        <v>227.43</v>
      </c>
      <c r="AP704" s="131" t="s">
        <v>207</v>
      </c>
      <c r="AQ704" s="12">
        <v>350.64</v>
      </c>
      <c r="AR704" s="131" t="s">
        <v>207</v>
      </c>
      <c r="AS704" s="12">
        <v>502.82</v>
      </c>
      <c r="AT704" s="131" t="s">
        <v>207</v>
      </c>
      <c r="AU704" s="11">
        <f t="shared" si="32"/>
        <v>3781.19</v>
      </c>
      <c r="AV704" s="329" t="s">
        <v>1664</v>
      </c>
      <c r="AW704" s="23" t="s">
        <v>211</v>
      </c>
      <c r="AX704" s="23" t="s">
        <v>208</v>
      </c>
      <c r="AY704" s="24">
        <v>3</v>
      </c>
      <c r="AZ704" s="24"/>
    </row>
    <row r="705" spans="1:52" ht="15" customHeight="1" x14ac:dyDescent="0.3">
      <c r="A705" s="114">
        <v>694</v>
      </c>
      <c r="B705" s="174" t="s">
        <v>1537</v>
      </c>
      <c r="C705" s="11" t="s">
        <v>1619</v>
      </c>
      <c r="D705" s="11" t="s">
        <v>288</v>
      </c>
      <c r="E705" s="29" t="s">
        <v>205</v>
      </c>
      <c r="F705" s="11" t="s">
        <v>1620</v>
      </c>
      <c r="G705" s="25" t="s">
        <v>145</v>
      </c>
      <c r="H705" s="23" t="s">
        <v>146</v>
      </c>
      <c r="I705" s="24">
        <v>1</v>
      </c>
      <c r="J705" s="23" t="s">
        <v>205</v>
      </c>
      <c r="K705" s="23">
        <v>80</v>
      </c>
      <c r="L705" s="23" t="s">
        <v>1621</v>
      </c>
      <c r="M705" s="23" t="s">
        <v>211</v>
      </c>
      <c r="N705" s="122" t="s">
        <v>218</v>
      </c>
      <c r="O705" s="23"/>
      <c r="P705" s="132" t="s">
        <v>218</v>
      </c>
      <c r="Q705" s="23"/>
      <c r="R705" s="23" t="s">
        <v>1622</v>
      </c>
      <c r="S705" s="23"/>
      <c r="T705" s="23"/>
      <c r="U705" s="354">
        <v>722.88</v>
      </c>
      <c r="V705" s="24">
        <v>541.61</v>
      </c>
      <c r="W705" s="24">
        <v>149.97999999999999</v>
      </c>
      <c r="X705" s="133" t="s">
        <v>207</v>
      </c>
      <c r="Y705" s="12">
        <v>119.32</v>
      </c>
      <c r="Z705" s="133" t="s">
        <v>207</v>
      </c>
      <c r="AA705" s="12">
        <v>114.54</v>
      </c>
      <c r="AB705" s="133" t="s">
        <v>207</v>
      </c>
      <c r="AC705" s="12">
        <v>96.93</v>
      </c>
      <c r="AD705" s="131" t="s">
        <v>207</v>
      </c>
      <c r="AE705" s="12">
        <v>29.49</v>
      </c>
      <c r="AF705" s="131" t="s">
        <v>207</v>
      </c>
      <c r="AG705" s="325">
        <v>0</v>
      </c>
      <c r="AH705" s="328"/>
      <c r="AI705" s="325">
        <v>0</v>
      </c>
      <c r="AJ705" s="328"/>
      <c r="AK705" s="325">
        <v>0</v>
      </c>
      <c r="AL705" s="328"/>
      <c r="AM705" s="325">
        <v>0</v>
      </c>
      <c r="AN705" s="328"/>
      <c r="AO705" s="12">
        <v>59.04</v>
      </c>
      <c r="AP705" s="131" t="s">
        <v>207</v>
      </c>
      <c r="AQ705" s="12">
        <v>83.69</v>
      </c>
      <c r="AR705" s="131" t="s">
        <v>207</v>
      </c>
      <c r="AS705" s="12">
        <v>99.8</v>
      </c>
      <c r="AT705" s="131" t="s">
        <v>207</v>
      </c>
      <c r="AU705" s="11">
        <f t="shared" si="32"/>
        <v>752.79</v>
      </c>
      <c r="AV705" s="329" t="s">
        <v>1665</v>
      </c>
      <c r="AW705" s="23" t="s">
        <v>211</v>
      </c>
      <c r="AX705" s="23" t="s">
        <v>208</v>
      </c>
      <c r="AY705" s="24">
        <v>1</v>
      </c>
      <c r="AZ705" s="24"/>
    </row>
    <row r="706" spans="1:52" ht="15" customHeight="1" x14ac:dyDescent="0.3">
      <c r="A706" s="114">
        <v>695</v>
      </c>
      <c r="B706" s="174" t="s">
        <v>1538</v>
      </c>
      <c r="C706" s="11" t="s">
        <v>1619</v>
      </c>
      <c r="D706" s="11" t="s">
        <v>288</v>
      </c>
      <c r="E706" s="29" t="s">
        <v>205</v>
      </c>
      <c r="F706" s="11" t="s">
        <v>1620</v>
      </c>
      <c r="G706" s="25" t="s">
        <v>145</v>
      </c>
      <c r="H706" s="23" t="s">
        <v>146</v>
      </c>
      <c r="I706" s="24">
        <v>2</v>
      </c>
      <c r="J706" s="23" t="s">
        <v>205</v>
      </c>
      <c r="K706" s="23">
        <v>100</v>
      </c>
      <c r="L706" s="23" t="s">
        <v>1621</v>
      </c>
      <c r="M706" s="23" t="s">
        <v>211</v>
      </c>
      <c r="N706" s="122" t="s">
        <v>218</v>
      </c>
      <c r="O706" s="23"/>
      <c r="P706" s="132" t="s">
        <v>218</v>
      </c>
      <c r="Q706" s="23"/>
      <c r="R706" s="23" t="s">
        <v>1622</v>
      </c>
      <c r="S706" s="23"/>
      <c r="T706" s="23"/>
      <c r="U706" s="354">
        <v>1848.86</v>
      </c>
      <c r="V706" s="24">
        <v>2048.42</v>
      </c>
      <c r="W706" s="24">
        <f>165.43+206.56</f>
        <v>371.99</v>
      </c>
      <c r="X706" s="133" t="s">
        <v>207</v>
      </c>
      <c r="Y706" s="12">
        <f>138.05+185.4</f>
        <v>323.45000000000005</v>
      </c>
      <c r="Z706" s="133" t="s">
        <v>207</v>
      </c>
      <c r="AA706" s="12">
        <f>129.8+183.88</f>
        <v>313.68</v>
      </c>
      <c r="AB706" s="133" t="s">
        <v>207</v>
      </c>
      <c r="AC706" s="12">
        <v>148.25</v>
      </c>
      <c r="AD706" s="131" t="s">
        <v>207</v>
      </c>
      <c r="AE706" s="12">
        <f>33+49.04</f>
        <v>82.039999999999992</v>
      </c>
      <c r="AF706" s="131" t="s">
        <v>207</v>
      </c>
      <c r="AG706" s="325">
        <v>0</v>
      </c>
      <c r="AH706" s="328"/>
      <c r="AI706" s="325">
        <v>0</v>
      </c>
      <c r="AJ706" s="328"/>
      <c r="AK706" s="325">
        <v>0</v>
      </c>
      <c r="AL706" s="328"/>
      <c r="AM706" s="325">
        <v>0</v>
      </c>
      <c r="AN706" s="328"/>
      <c r="AO706" s="12">
        <v>168.84</v>
      </c>
      <c r="AP706" s="131" t="s">
        <v>207</v>
      </c>
      <c r="AQ706" s="12">
        <v>203.06</v>
      </c>
      <c r="AR706" s="131" t="s">
        <v>207</v>
      </c>
      <c r="AS706" s="12">
        <v>269.13</v>
      </c>
      <c r="AT706" s="131" t="s">
        <v>207</v>
      </c>
      <c r="AU706" s="11">
        <f t="shared" si="32"/>
        <v>1880.44</v>
      </c>
      <c r="AV706" s="329" t="s">
        <v>1666</v>
      </c>
      <c r="AW706" s="23" t="s">
        <v>211</v>
      </c>
      <c r="AX706" s="23" t="s">
        <v>208</v>
      </c>
      <c r="AY706" s="24">
        <v>2</v>
      </c>
      <c r="AZ706" s="24"/>
    </row>
    <row r="707" spans="1:52" ht="15" customHeight="1" x14ac:dyDescent="0.3">
      <c r="A707" s="114">
        <v>696</v>
      </c>
      <c r="B707" s="174" t="s">
        <v>1539</v>
      </c>
      <c r="C707" s="11" t="s">
        <v>1619</v>
      </c>
      <c r="D707" s="11" t="s">
        <v>288</v>
      </c>
      <c r="E707" s="29" t="s">
        <v>205</v>
      </c>
      <c r="F707" s="11" t="s">
        <v>1620</v>
      </c>
      <c r="G707" s="25" t="s">
        <v>145</v>
      </c>
      <c r="H707" s="23" t="s">
        <v>146</v>
      </c>
      <c r="I707" s="24">
        <v>1</v>
      </c>
      <c r="J707" s="23" t="s">
        <v>205</v>
      </c>
      <c r="K707" s="23">
        <v>100</v>
      </c>
      <c r="L707" s="23" t="s">
        <v>1621</v>
      </c>
      <c r="M707" s="23" t="s">
        <v>211</v>
      </c>
      <c r="N707" s="122" t="s">
        <v>218</v>
      </c>
      <c r="O707" s="23"/>
      <c r="P707" s="132" t="s">
        <v>218</v>
      </c>
      <c r="Q707" s="23"/>
      <c r="R707" s="23" t="s">
        <v>1622</v>
      </c>
      <c r="S707" s="23"/>
      <c r="T707" s="23"/>
      <c r="U707" s="354">
        <v>727.11</v>
      </c>
      <c r="V707" s="24">
        <v>796.76</v>
      </c>
      <c r="W707" s="24">
        <v>127.82</v>
      </c>
      <c r="X707" s="133" t="s">
        <v>449</v>
      </c>
      <c r="Y707" s="12">
        <v>71.013000000000005</v>
      </c>
      <c r="Z707" s="133" t="s">
        <v>207</v>
      </c>
      <c r="AA707" s="12">
        <v>114.91</v>
      </c>
      <c r="AB707" s="133" t="s">
        <v>207</v>
      </c>
      <c r="AC707" s="12">
        <v>85.3</v>
      </c>
      <c r="AD707" s="131" t="s">
        <v>207</v>
      </c>
      <c r="AE707" s="12">
        <v>26.4</v>
      </c>
      <c r="AF707" s="131" t="s">
        <v>207</v>
      </c>
      <c r="AG707" s="325">
        <v>0</v>
      </c>
      <c r="AH707" s="328"/>
      <c r="AI707" s="325">
        <v>0</v>
      </c>
      <c r="AJ707" s="328"/>
      <c r="AK707" s="325">
        <v>0</v>
      </c>
      <c r="AL707" s="328"/>
      <c r="AM707" s="325">
        <v>0</v>
      </c>
      <c r="AN707" s="328"/>
      <c r="AO707" s="12">
        <v>64.2</v>
      </c>
      <c r="AP707" s="131" t="s">
        <v>207</v>
      </c>
      <c r="AQ707" s="12">
        <v>72.3</v>
      </c>
      <c r="AR707" s="131" t="s">
        <v>207</v>
      </c>
      <c r="AS707" s="12">
        <v>101.75</v>
      </c>
      <c r="AT707" s="131" t="s">
        <v>207</v>
      </c>
      <c r="AU707" s="29">
        <f t="shared" si="32"/>
        <v>663.69299999999998</v>
      </c>
      <c r="AV707" s="329" t="s">
        <v>1645</v>
      </c>
      <c r="AW707" s="23" t="s">
        <v>211</v>
      </c>
      <c r="AX707" s="23" t="s">
        <v>208</v>
      </c>
      <c r="AY707" s="24">
        <v>1</v>
      </c>
      <c r="AZ707" s="24"/>
    </row>
    <row r="708" spans="1:52" ht="15" customHeight="1" x14ac:dyDescent="0.3">
      <c r="A708" s="114">
        <v>697</v>
      </c>
      <c r="B708" s="174" t="s">
        <v>1540</v>
      </c>
      <c r="C708" s="11" t="s">
        <v>1619</v>
      </c>
      <c r="D708" s="11" t="s">
        <v>288</v>
      </c>
      <c r="E708" s="29" t="s">
        <v>205</v>
      </c>
      <c r="F708" s="11" t="s">
        <v>1620</v>
      </c>
      <c r="G708" s="25" t="s">
        <v>145</v>
      </c>
      <c r="H708" s="23" t="s">
        <v>146</v>
      </c>
      <c r="I708" s="24">
        <v>2</v>
      </c>
      <c r="J708" s="23" t="s">
        <v>205</v>
      </c>
      <c r="K708" s="23">
        <v>100</v>
      </c>
      <c r="L708" s="23" t="s">
        <v>1621</v>
      </c>
      <c r="M708" s="23" t="s">
        <v>211</v>
      </c>
      <c r="N708" s="122" t="s">
        <v>218</v>
      </c>
      <c r="O708" s="23"/>
      <c r="P708" s="132" t="s">
        <v>218</v>
      </c>
      <c r="Q708" s="23"/>
      <c r="R708" s="23" t="s">
        <v>1622</v>
      </c>
      <c r="S708" s="23"/>
      <c r="T708" s="23"/>
      <c r="U708" s="354">
        <v>3394.64</v>
      </c>
      <c r="V708" s="24">
        <v>3609.07</v>
      </c>
      <c r="W708" s="24">
        <f>252.68+429.31</f>
        <v>681.99</v>
      </c>
      <c r="X708" s="133" t="s">
        <v>207</v>
      </c>
      <c r="Y708" s="12">
        <f>213.98+339.74</f>
        <v>553.72</v>
      </c>
      <c r="Z708" s="133" t="s">
        <v>207</v>
      </c>
      <c r="AA708" s="12">
        <f>192.7+338.17</f>
        <v>530.87</v>
      </c>
      <c r="AB708" s="133" t="s">
        <v>207</v>
      </c>
      <c r="AC708" s="12">
        <v>399.85</v>
      </c>
      <c r="AD708" s="131" t="s">
        <v>207</v>
      </c>
      <c r="AE708" s="12">
        <v>128.69</v>
      </c>
      <c r="AF708" s="131" t="s">
        <v>207</v>
      </c>
      <c r="AG708" s="325">
        <v>0</v>
      </c>
      <c r="AH708" s="328"/>
      <c r="AI708" s="325">
        <v>0</v>
      </c>
      <c r="AJ708" s="328"/>
      <c r="AK708" s="325">
        <v>0</v>
      </c>
      <c r="AL708" s="328"/>
      <c r="AM708" s="325">
        <v>0</v>
      </c>
      <c r="AN708" s="328"/>
      <c r="AO708" s="12">
        <v>281.35000000000002</v>
      </c>
      <c r="AP708" s="131" t="s">
        <v>207</v>
      </c>
      <c r="AQ708" s="12">
        <v>336.5</v>
      </c>
      <c r="AR708" s="131" t="s">
        <v>207</v>
      </c>
      <c r="AS708" s="12">
        <v>466.66</v>
      </c>
      <c r="AT708" s="131" t="s">
        <v>207</v>
      </c>
      <c r="AU708" s="29">
        <f t="shared" si="32"/>
        <v>3379.6299999999997</v>
      </c>
      <c r="AV708" s="329" t="s">
        <v>1667</v>
      </c>
      <c r="AW708" s="23" t="s">
        <v>211</v>
      </c>
      <c r="AX708" s="23" t="s">
        <v>208</v>
      </c>
      <c r="AY708" s="24">
        <v>2</v>
      </c>
      <c r="AZ708" s="24"/>
    </row>
    <row r="709" spans="1:52" ht="15" customHeight="1" x14ac:dyDescent="0.3">
      <c r="A709" s="114">
        <v>698</v>
      </c>
      <c r="B709" s="174" t="s">
        <v>1541</v>
      </c>
      <c r="C709" s="11" t="s">
        <v>1619</v>
      </c>
      <c r="D709" s="11" t="s">
        <v>288</v>
      </c>
      <c r="E709" s="29" t="s">
        <v>289</v>
      </c>
      <c r="F709" s="11" t="s">
        <v>1620</v>
      </c>
      <c r="G709" s="25" t="s">
        <v>145</v>
      </c>
      <c r="H709" s="23" t="s">
        <v>146</v>
      </c>
      <c r="I709" s="24">
        <v>1</v>
      </c>
      <c r="J709" s="23" t="s">
        <v>289</v>
      </c>
      <c r="K709" s="23">
        <v>100</v>
      </c>
      <c r="L709" s="23" t="s">
        <v>1621</v>
      </c>
      <c r="M709" s="23" t="s">
        <v>223</v>
      </c>
      <c r="N709" s="122" t="s">
        <v>218</v>
      </c>
      <c r="O709" s="23"/>
      <c r="P709" s="132" t="s">
        <v>218</v>
      </c>
      <c r="Q709" s="23"/>
      <c r="R709" s="23" t="s">
        <v>1639</v>
      </c>
      <c r="S709" s="23"/>
      <c r="T709" s="23"/>
      <c r="U709" s="354">
        <v>1137.03</v>
      </c>
      <c r="V709" s="24">
        <v>1185.08</v>
      </c>
      <c r="W709" s="24">
        <v>208.05</v>
      </c>
      <c r="X709" s="133" t="s">
        <v>207</v>
      </c>
      <c r="Y709" s="12">
        <v>178.39</v>
      </c>
      <c r="Z709" s="133" t="s">
        <v>207</v>
      </c>
      <c r="AA709" s="12">
        <v>162.68</v>
      </c>
      <c r="AB709" s="133" t="s">
        <v>207</v>
      </c>
      <c r="AC709" s="12">
        <v>136.4</v>
      </c>
      <c r="AD709" s="131" t="s">
        <v>207</v>
      </c>
      <c r="AE709" s="12">
        <v>35.92</v>
      </c>
      <c r="AF709" s="131" t="s">
        <v>207</v>
      </c>
      <c r="AG709" s="325">
        <v>0</v>
      </c>
      <c r="AH709" s="328"/>
      <c r="AI709" s="325">
        <v>0</v>
      </c>
      <c r="AJ709" s="328"/>
      <c r="AK709" s="325">
        <v>0</v>
      </c>
      <c r="AL709" s="328"/>
      <c r="AM709" s="325">
        <v>0</v>
      </c>
      <c r="AN709" s="328"/>
      <c r="AO709" s="12">
        <v>76.260000000000005</v>
      </c>
      <c r="AP709" s="131" t="s">
        <v>207</v>
      </c>
      <c r="AQ709" s="12">
        <v>92.95</v>
      </c>
      <c r="AR709" s="131" t="s">
        <v>207</v>
      </c>
      <c r="AS709" s="12">
        <v>138.16999999999999</v>
      </c>
      <c r="AT709" s="131" t="s">
        <v>207</v>
      </c>
      <c r="AU709" s="29">
        <f t="shared" si="32"/>
        <v>1028.82</v>
      </c>
      <c r="AV709" s="329" t="s">
        <v>1668</v>
      </c>
      <c r="AW709" s="23" t="s">
        <v>223</v>
      </c>
      <c r="AX709" s="23" t="s">
        <v>208</v>
      </c>
      <c r="AY709" s="24"/>
      <c r="AZ709" s="24"/>
    </row>
    <row r="710" spans="1:52" ht="15" customHeight="1" x14ac:dyDescent="0.3">
      <c r="A710" s="114">
        <v>699</v>
      </c>
      <c r="B710" s="174" t="s">
        <v>1542</v>
      </c>
      <c r="C710" s="11" t="s">
        <v>1619</v>
      </c>
      <c r="D710" s="11" t="s">
        <v>288</v>
      </c>
      <c r="E710" s="29" t="s">
        <v>205</v>
      </c>
      <c r="F710" s="11" t="s">
        <v>1620</v>
      </c>
      <c r="G710" s="25" t="s">
        <v>145</v>
      </c>
      <c r="H710" s="23" t="s">
        <v>146</v>
      </c>
      <c r="I710" s="24">
        <v>1</v>
      </c>
      <c r="J710" s="23" t="s">
        <v>205</v>
      </c>
      <c r="K710" s="23">
        <v>100</v>
      </c>
      <c r="L710" s="23" t="s">
        <v>1621</v>
      </c>
      <c r="M710" s="23" t="s">
        <v>211</v>
      </c>
      <c r="N710" s="122" t="s">
        <v>218</v>
      </c>
      <c r="O710" s="23"/>
      <c r="P710" s="132" t="s">
        <v>218</v>
      </c>
      <c r="Q710" s="23"/>
      <c r="R710" s="23" t="s">
        <v>1622</v>
      </c>
      <c r="S710" s="23"/>
      <c r="T710" s="23"/>
      <c r="U710" s="354">
        <v>758.14</v>
      </c>
      <c r="V710" s="24">
        <v>749.66</v>
      </c>
      <c r="W710" s="24">
        <v>157.30000000000001</v>
      </c>
      <c r="X710" s="133" t="s">
        <v>207</v>
      </c>
      <c r="Y710" s="12">
        <v>137</v>
      </c>
      <c r="Z710" s="133" t="s">
        <v>207</v>
      </c>
      <c r="AA710" s="12">
        <v>142.38999999999999</v>
      </c>
      <c r="AB710" s="133" t="s">
        <v>207</v>
      </c>
      <c r="AC710" s="12">
        <v>126.45</v>
      </c>
      <c r="AD710" s="131" t="s">
        <v>207</v>
      </c>
      <c r="AE710" s="12">
        <v>41.85</v>
      </c>
      <c r="AF710" s="131" t="s">
        <v>207</v>
      </c>
      <c r="AG710" s="325">
        <v>0</v>
      </c>
      <c r="AH710" s="328"/>
      <c r="AI710" s="325">
        <v>0</v>
      </c>
      <c r="AJ710" s="328"/>
      <c r="AK710" s="325">
        <v>0</v>
      </c>
      <c r="AL710" s="328"/>
      <c r="AM710" s="325">
        <v>0</v>
      </c>
      <c r="AN710" s="328"/>
      <c r="AO710" s="12">
        <v>67.75</v>
      </c>
      <c r="AP710" s="131" t="s">
        <v>207</v>
      </c>
      <c r="AQ710" s="12">
        <v>84.84</v>
      </c>
      <c r="AR710" s="131" t="s">
        <v>207</v>
      </c>
      <c r="AS710" s="12">
        <v>103.24</v>
      </c>
      <c r="AT710" s="131" t="s">
        <v>207</v>
      </c>
      <c r="AU710" s="29">
        <f t="shared" si="32"/>
        <v>860.82</v>
      </c>
      <c r="AV710" s="331" t="s">
        <v>1669</v>
      </c>
      <c r="AW710" s="23" t="s">
        <v>211</v>
      </c>
      <c r="AX710" s="23" t="s">
        <v>208</v>
      </c>
      <c r="AY710" s="24">
        <v>1</v>
      </c>
      <c r="AZ710" s="24"/>
    </row>
    <row r="711" spans="1:52" ht="15" customHeight="1" x14ac:dyDescent="0.3">
      <c r="A711" s="114">
        <v>700</v>
      </c>
      <c r="B711" s="174" t="s">
        <v>1543</v>
      </c>
      <c r="C711" s="11" t="s">
        <v>1619</v>
      </c>
      <c r="D711" s="11" t="s">
        <v>288</v>
      </c>
      <c r="E711" s="29" t="s">
        <v>205</v>
      </c>
      <c r="F711" s="11" t="s">
        <v>1620</v>
      </c>
      <c r="G711" s="25" t="s">
        <v>145</v>
      </c>
      <c r="H711" s="23" t="s">
        <v>146</v>
      </c>
      <c r="I711" s="24">
        <v>3</v>
      </c>
      <c r="J711" s="23" t="s">
        <v>205</v>
      </c>
      <c r="K711" s="23">
        <v>100</v>
      </c>
      <c r="L711" s="23" t="s">
        <v>1621</v>
      </c>
      <c r="M711" s="23" t="s">
        <v>211</v>
      </c>
      <c r="N711" s="122" t="s">
        <v>218</v>
      </c>
      <c r="O711" s="23"/>
      <c r="P711" s="132" t="s">
        <v>218</v>
      </c>
      <c r="Q711" s="23"/>
      <c r="R711" s="23" t="s">
        <v>1622</v>
      </c>
      <c r="S711" s="23"/>
      <c r="T711" s="23"/>
      <c r="U711" s="354">
        <v>2996.9</v>
      </c>
      <c r="V711" s="24">
        <v>3244.42</v>
      </c>
      <c r="W711" s="24">
        <f>141.5+163.07</f>
        <v>304.57</v>
      </c>
      <c r="X711" s="133" t="s">
        <v>207</v>
      </c>
      <c r="Y711" s="12">
        <f>123.72+142.51+264.32</f>
        <v>530.54999999999995</v>
      </c>
      <c r="Z711" s="133" t="s">
        <v>207</v>
      </c>
      <c r="AA711" s="12">
        <f>118.08+140.21+258.89</f>
        <v>517.18000000000006</v>
      </c>
      <c r="AB711" s="133" t="s">
        <v>207</v>
      </c>
      <c r="AC711" s="12">
        <f>107.79+132.8+219.59</f>
        <v>460.18000000000006</v>
      </c>
      <c r="AD711" s="131" t="s">
        <v>207</v>
      </c>
      <c r="AE711" s="12">
        <f>37+45.9+85.1</f>
        <v>168</v>
      </c>
      <c r="AF711" s="131" t="s">
        <v>207</v>
      </c>
      <c r="AG711" s="325">
        <v>0</v>
      </c>
      <c r="AH711" s="328"/>
      <c r="AI711" s="325">
        <v>0</v>
      </c>
      <c r="AJ711" s="328"/>
      <c r="AK711" s="325">
        <v>0</v>
      </c>
      <c r="AL711" s="328"/>
      <c r="AM711" s="325">
        <v>0</v>
      </c>
      <c r="AN711" s="328"/>
      <c r="AO711" s="12">
        <v>257</v>
      </c>
      <c r="AP711" s="131" t="s">
        <v>207</v>
      </c>
      <c r="AQ711" s="12">
        <v>316.66000000000003</v>
      </c>
      <c r="AR711" s="131" t="s">
        <v>207</v>
      </c>
      <c r="AS711" s="12">
        <v>400</v>
      </c>
      <c r="AT711" s="131" t="s">
        <v>207</v>
      </c>
      <c r="AU711" s="29">
        <f t="shared" si="32"/>
        <v>2954.14</v>
      </c>
      <c r="AV711" s="329" t="s">
        <v>1670</v>
      </c>
      <c r="AW711" s="23" t="s">
        <v>211</v>
      </c>
      <c r="AX711" s="23" t="s">
        <v>208</v>
      </c>
      <c r="AY711" s="24">
        <v>3</v>
      </c>
      <c r="AZ711" s="24"/>
    </row>
    <row r="712" spans="1:52" ht="15" customHeight="1" x14ac:dyDescent="0.3">
      <c r="A712" s="114">
        <v>701</v>
      </c>
      <c r="B712" s="174" t="s">
        <v>1544</v>
      </c>
      <c r="C712" s="11" t="s">
        <v>1619</v>
      </c>
      <c r="D712" s="11" t="s">
        <v>288</v>
      </c>
      <c r="E712" s="29" t="s">
        <v>289</v>
      </c>
      <c r="F712" s="11" t="s">
        <v>1620</v>
      </c>
      <c r="G712" s="25" t="s">
        <v>145</v>
      </c>
      <c r="H712" s="23" t="s">
        <v>146</v>
      </c>
      <c r="I712" s="24">
        <v>1</v>
      </c>
      <c r="J712" s="23" t="s">
        <v>205</v>
      </c>
      <c r="K712" s="23">
        <v>100</v>
      </c>
      <c r="L712" s="23" t="s">
        <v>1621</v>
      </c>
      <c r="M712" s="23" t="s">
        <v>211</v>
      </c>
      <c r="N712" s="122" t="s">
        <v>218</v>
      </c>
      <c r="O712" s="23"/>
      <c r="P712" s="132" t="s">
        <v>218</v>
      </c>
      <c r="Q712" s="23"/>
      <c r="R712" s="23" t="s">
        <v>1622</v>
      </c>
      <c r="S712" s="23"/>
      <c r="T712" s="23"/>
      <c r="U712" s="354">
        <v>1093.0999999999999</v>
      </c>
      <c r="V712" s="24">
        <v>1170.71</v>
      </c>
      <c r="W712" s="24">
        <v>194.99</v>
      </c>
      <c r="X712" s="133" t="s">
        <v>449</v>
      </c>
      <c r="Y712" s="12">
        <v>125.855</v>
      </c>
      <c r="Z712" s="133" t="s">
        <v>207</v>
      </c>
      <c r="AA712" s="12">
        <v>203.35</v>
      </c>
      <c r="AB712" s="133" t="s">
        <v>207</v>
      </c>
      <c r="AC712" s="12">
        <v>170.35</v>
      </c>
      <c r="AD712" s="131" t="s">
        <v>207</v>
      </c>
      <c r="AE712" s="12">
        <v>45.94</v>
      </c>
      <c r="AF712" s="131" t="s">
        <v>207</v>
      </c>
      <c r="AG712" s="325">
        <v>0</v>
      </c>
      <c r="AH712" s="328"/>
      <c r="AI712" s="325">
        <v>0</v>
      </c>
      <c r="AJ712" s="328"/>
      <c r="AK712" s="325">
        <v>0</v>
      </c>
      <c r="AL712" s="328"/>
      <c r="AM712" s="325">
        <v>0</v>
      </c>
      <c r="AN712" s="328"/>
      <c r="AO712" s="12">
        <v>68.650000000000006</v>
      </c>
      <c r="AP712" s="131" t="s">
        <v>207</v>
      </c>
      <c r="AQ712" s="12">
        <v>116.07</v>
      </c>
      <c r="AR712" s="131" t="s">
        <v>207</v>
      </c>
      <c r="AS712" s="12">
        <v>153.83000000000001</v>
      </c>
      <c r="AT712" s="131" t="s">
        <v>207</v>
      </c>
      <c r="AU712" s="29">
        <f t="shared" si="32"/>
        <v>1079.0350000000001</v>
      </c>
      <c r="AV712" s="329" t="s">
        <v>1640</v>
      </c>
      <c r="AW712" s="23" t="s">
        <v>211</v>
      </c>
      <c r="AX712" s="23" t="s">
        <v>208</v>
      </c>
      <c r="AY712" s="24">
        <v>1</v>
      </c>
      <c r="AZ712" s="24"/>
    </row>
    <row r="713" spans="1:52" ht="15" customHeight="1" x14ac:dyDescent="0.3">
      <c r="A713" s="114">
        <v>702</v>
      </c>
      <c r="B713" s="174" t="s">
        <v>1545</v>
      </c>
      <c r="C713" s="11" t="s">
        <v>1619</v>
      </c>
      <c r="D713" s="11" t="s">
        <v>288</v>
      </c>
      <c r="E713" s="29" t="s">
        <v>205</v>
      </c>
      <c r="F713" s="11" t="s">
        <v>1620</v>
      </c>
      <c r="G713" s="25" t="s">
        <v>145</v>
      </c>
      <c r="H713" s="23" t="s">
        <v>146</v>
      </c>
      <c r="I713" s="24">
        <v>2</v>
      </c>
      <c r="J713" s="23" t="s">
        <v>205</v>
      </c>
      <c r="K713" s="23">
        <v>100</v>
      </c>
      <c r="L713" s="23" t="s">
        <v>1621</v>
      </c>
      <c r="M713" s="23" t="s">
        <v>211</v>
      </c>
      <c r="N713" s="122" t="s">
        <v>218</v>
      </c>
      <c r="O713" s="23"/>
      <c r="P713" s="132" t="s">
        <v>218</v>
      </c>
      <c r="Q713" s="23"/>
      <c r="R713" s="23" t="s">
        <v>1622</v>
      </c>
      <c r="S713" s="23"/>
      <c r="T713" s="23"/>
      <c r="U713" s="354">
        <v>2499.9</v>
      </c>
      <c r="V713" s="24">
        <v>2864.79</v>
      </c>
      <c r="W713" s="24">
        <f>264.109+338.17</f>
        <v>602.279</v>
      </c>
      <c r="X713" s="133" t="s">
        <v>207</v>
      </c>
      <c r="Y713" s="12">
        <f>221.62+250.15</f>
        <v>471.77</v>
      </c>
      <c r="Z713" s="133" t="s">
        <v>207</v>
      </c>
      <c r="AA713" s="12">
        <f>197.98+246.38</f>
        <v>444.36</v>
      </c>
      <c r="AB713" s="133" t="s">
        <v>207</v>
      </c>
      <c r="AC713" s="12">
        <v>239.5</v>
      </c>
      <c r="AD713" s="131" t="s">
        <v>207</v>
      </c>
      <c r="AE713" s="12">
        <f>46.4+51.6</f>
        <v>98</v>
      </c>
      <c r="AF713" s="131" t="s">
        <v>207</v>
      </c>
      <c r="AG713" s="325">
        <v>0</v>
      </c>
      <c r="AH713" s="328"/>
      <c r="AI713" s="325">
        <v>0</v>
      </c>
      <c r="AJ713" s="328"/>
      <c r="AK713" s="325">
        <v>0</v>
      </c>
      <c r="AL713" s="328"/>
      <c r="AM713" s="325">
        <v>0</v>
      </c>
      <c r="AN713" s="328"/>
      <c r="AO713" s="12">
        <v>216</v>
      </c>
      <c r="AP713" s="131" t="s">
        <v>207</v>
      </c>
      <c r="AQ713" s="12">
        <v>314.3</v>
      </c>
      <c r="AR713" s="131" t="s">
        <v>207</v>
      </c>
      <c r="AS713" s="12">
        <v>385.03</v>
      </c>
      <c r="AT713" s="131" t="s">
        <v>207</v>
      </c>
      <c r="AU713" s="11">
        <f t="shared" si="32"/>
        <v>2771.2390000000005</v>
      </c>
      <c r="AV713" s="329" t="s">
        <v>1671</v>
      </c>
      <c r="AW713" s="23" t="s">
        <v>211</v>
      </c>
      <c r="AX713" s="23" t="s">
        <v>208</v>
      </c>
      <c r="AY713" s="24">
        <v>2</v>
      </c>
      <c r="AZ713" s="24"/>
    </row>
    <row r="714" spans="1:52" ht="15" customHeight="1" x14ac:dyDescent="0.3">
      <c r="A714" s="114">
        <v>703</v>
      </c>
      <c r="B714" s="174" t="s">
        <v>1546</v>
      </c>
      <c r="C714" s="11" t="s">
        <v>1619</v>
      </c>
      <c r="D714" s="11" t="s">
        <v>288</v>
      </c>
      <c r="E714" s="29" t="s">
        <v>289</v>
      </c>
      <c r="F714" s="11" t="s">
        <v>1620</v>
      </c>
      <c r="G714" s="25" t="s">
        <v>145</v>
      </c>
      <c r="H714" s="23" t="s">
        <v>146</v>
      </c>
      <c r="I714" s="24">
        <v>1</v>
      </c>
      <c r="J714" s="23" t="s">
        <v>289</v>
      </c>
      <c r="K714" s="23">
        <v>100</v>
      </c>
      <c r="L714" s="23" t="s">
        <v>1621</v>
      </c>
      <c r="M714" s="23" t="s">
        <v>223</v>
      </c>
      <c r="N714" s="122" t="s">
        <v>218</v>
      </c>
      <c r="O714" s="23"/>
      <c r="P714" s="132" t="s">
        <v>218</v>
      </c>
      <c r="Q714" s="23"/>
      <c r="R714" s="23" t="s">
        <v>1639</v>
      </c>
      <c r="S714" s="23"/>
      <c r="T714" s="23"/>
      <c r="U714" s="354">
        <v>1085.31</v>
      </c>
      <c r="V714" s="24">
        <v>1300.58</v>
      </c>
      <c r="W714" s="24">
        <v>565.29999999999995</v>
      </c>
      <c r="X714" s="330" t="s">
        <v>449</v>
      </c>
      <c r="Y714" s="24">
        <v>565.29999999999995</v>
      </c>
      <c r="Z714" s="330" t="s">
        <v>449</v>
      </c>
      <c r="AA714" s="24">
        <v>562.29999999999995</v>
      </c>
      <c r="AB714" s="133" t="s">
        <v>207</v>
      </c>
      <c r="AC714" s="12">
        <v>98.3</v>
      </c>
      <c r="AD714" s="131" t="s">
        <v>207</v>
      </c>
      <c r="AE714" s="12">
        <v>51.2</v>
      </c>
      <c r="AF714" s="131" t="s">
        <v>207</v>
      </c>
      <c r="AG714" s="325">
        <v>0</v>
      </c>
      <c r="AH714" s="328"/>
      <c r="AI714" s="325">
        <v>0</v>
      </c>
      <c r="AJ714" s="328"/>
      <c r="AK714" s="325">
        <v>0</v>
      </c>
      <c r="AL714" s="328"/>
      <c r="AM714" s="325">
        <v>0</v>
      </c>
      <c r="AN714" s="328"/>
      <c r="AO714" s="12">
        <v>85.12</v>
      </c>
      <c r="AP714" s="131" t="s">
        <v>207</v>
      </c>
      <c r="AQ714" s="12">
        <v>119.36</v>
      </c>
      <c r="AR714" s="131" t="s">
        <v>207</v>
      </c>
      <c r="AS714" s="12">
        <v>178.83</v>
      </c>
      <c r="AT714" s="131" t="s">
        <v>207</v>
      </c>
      <c r="AU714" s="29">
        <f t="shared" si="32"/>
        <v>2225.71</v>
      </c>
      <c r="AV714" s="329" t="s">
        <v>1672</v>
      </c>
      <c r="AW714" s="23" t="s">
        <v>223</v>
      </c>
      <c r="AX714" s="23" t="s">
        <v>208</v>
      </c>
      <c r="AY714" s="24"/>
      <c r="AZ714" s="24"/>
    </row>
    <row r="715" spans="1:52" ht="15" customHeight="1" x14ac:dyDescent="0.3">
      <c r="A715" s="114">
        <v>704</v>
      </c>
      <c r="B715" s="174" t="s">
        <v>1547</v>
      </c>
      <c r="C715" s="11" t="s">
        <v>1619</v>
      </c>
      <c r="D715" s="11" t="s">
        <v>288</v>
      </c>
      <c r="E715" s="29" t="s">
        <v>205</v>
      </c>
      <c r="F715" s="11" t="s">
        <v>1620</v>
      </c>
      <c r="G715" s="25" t="s">
        <v>145</v>
      </c>
      <c r="H715" s="23" t="s">
        <v>146</v>
      </c>
      <c r="I715" s="24">
        <v>7</v>
      </c>
      <c r="J715" s="23" t="s">
        <v>205</v>
      </c>
      <c r="K715" s="23">
        <v>100</v>
      </c>
      <c r="L715" s="23" t="s">
        <v>1621</v>
      </c>
      <c r="M715" s="23" t="s">
        <v>211</v>
      </c>
      <c r="N715" s="122" t="s">
        <v>218</v>
      </c>
      <c r="O715" s="23"/>
      <c r="P715" s="132" t="s">
        <v>218</v>
      </c>
      <c r="Q715" s="23"/>
      <c r="R715" s="23" t="s">
        <v>1622</v>
      </c>
      <c r="S715" s="23"/>
      <c r="T715" s="23"/>
      <c r="U715" s="354">
        <v>6511</v>
      </c>
      <c r="V715" s="24">
        <v>7328.24</v>
      </c>
      <c r="W715" s="24">
        <f>251.38+195.51+155.48+270.93+229.35+131.29+135.53</f>
        <v>1369.4699999999998</v>
      </c>
      <c r="X715" s="133" t="s">
        <v>207</v>
      </c>
      <c r="Y715" s="12">
        <f>216.37+165.89+132.31+227.98+187.12+101.04+106.15</f>
        <v>1136.8600000000001</v>
      </c>
      <c r="Z715" s="133" t="s">
        <v>207</v>
      </c>
      <c r="AA715" s="12">
        <v>1056.2</v>
      </c>
      <c r="AB715" s="133" t="s">
        <v>207</v>
      </c>
      <c r="AC715" s="12">
        <v>1011.56</v>
      </c>
      <c r="AD715" s="131" t="s">
        <v>207</v>
      </c>
      <c r="AE715" s="12">
        <f>71.1+59.8+41.4+81.55+64.06+24.77+35.16</f>
        <v>377.83999999999992</v>
      </c>
      <c r="AF715" s="131" t="s">
        <v>207</v>
      </c>
      <c r="AG715" s="325">
        <v>0</v>
      </c>
      <c r="AH715" s="328"/>
      <c r="AI715" s="325">
        <v>0</v>
      </c>
      <c r="AJ715" s="328"/>
      <c r="AK715" s="325">
        <v>0</v>
      </c>
      <c r="AL715" s="328"/>
      <c r="AM715" s="325">
        <v>0</v>
      </c>
      <c r="AN715" s="328"/>
      <c r="AO715" s="12">
        <v>542.4</v>
      </c>
      <c r="AP715" s="131" t="s">
        <v>207</v>
      </c>
      <c r="AQ715" s="12">
        <v>714.46</v>
      </c>
      <c r="AR715" s="131" t="s">
        <v>207</v>
      </c>
      <c r="AS715" s="12">
        <v>960.14</v>
      </c>
      <c r="AT715" s="131" t="s">
        <v>207</v>
      </c>
      <c r="AU715" s="11">
        <f t="shared" si="32"/>
        <v>7168.93</v>
      </c>
      <c r="AV715" s="329" t="s">
        <v>1673</v>
      </c>
      <c r="AW715" s="23" t="s">
        <v>211</v>
      </c>
      <c r="AX715" s="23" t="s">
        <v>208</v>
      </c>
      <c r="AY715" s="24">
        <v>7</v>
      </c>
      <c r="AZ715" s="24"/>
    </row>
    <row r="716" spans="1:52" ht="15" customHeight="1" x14ac:dyDescent="0.3">
      <c r="A716" s="114">
        <v>705</v>
      </c>
      <c r="B716" s="174" t="s">
        <v>1548</v>
      </c>
      <c r="C716" s="11" t="s">
        <v>1619</v>
      </c>
      <c r="D716" s="11" t="s">
        <v>288</v>
      </c>
      <c r="E716" s="29" t="s">
        <v>205</v>
      </c>
      <c r="F716" s="11" t="s">
        <v>1620</v>
      </c>
      <c r="G716" s="25" t="s">
        <v>145</v>
      </c>
      <c r="H716" s="23" t="s">
        <v>146</v>
      </c>
      <c r="I716" s="24">
        <v>7</v>
      </c>
      <c r="J716" s="23" t="s">
        <v>205</v>
      </c>
      <c r="K716" s="23">
        <v>100</v>
      </c>
      <c r="L716" s="23" t="s">
        <v>1621</v>
      </c>
      <c r="M716" s="23" t="s">
        <v>211</v>
      </c>
      <c r="N716" s="122" t="s">
        <v>218</v>
      </c>
      <c r="O716" s="23"/>
      <c r="P716" s="132" t="s">
        <v>218</v>
      </c>
      <c r="Q716" s="23"/>
      <c r="R716" s="23" t="s">
        <v>1622</v>
      </c>
      <c r="S716" s="23"/>
      <c r="T716" s="23"/>
      <c r="U716" s="354">
        <v>6910</v>
      </c>
      <c r="V716" s="24">
        <v>7694.8</v>
      </c>
      <c r="W716" s="24">
        <f>207.2+314.45+182.64+244.1+260.25+116.04+14.88</f>
        <v>1339.56</v>
      </c>
      <c r="X716" s="133" t="s">
        <v>207</v>
      </c>
      <c r="Y716" s="12">
        <f>182.57+251.28+136.94+231.74+207.49+105.11+114.4</f>
        <v>1229.53</v>
      </c>
      <c r="Z716" s="133" t="s">
        <v>207</v>
      </c>
      <c r="AA716" s="12">
        <v>1125.3</v>
      </c>
      <c r="AB716" s="133" t="s">
        <v>207</v>
      </c>
      <c r="AC716" s="12">
        <v>1058.2</v>
      </c>
      <c r="AD716" s="131" t="s">
        <v>207</v>
      </c>
      <c r="AE716" s="12">
        <v>395.64</v>
      </c>
      <c r="AF716" s="131" t="s">
        <v>207</v>
      </c>
      <c r="AG716" s="325">
        <v>0</v>
      </c>
      <c r="AH716" s="328"/>
      <c r="AI716" s="325">
        <v>0</v>
      </c>
      <c r="AJ716" s="328"/>
      <c r="AK716" s="325">
        <v>0</v>
      </c>
      <c r="AL716" s="328"/>
      <c r="AM716" s="325">
        <v>0</v>
      </c>
      <c r="AN716" s="328"/>
      <c r="AO716" s="12">
        <v>581.14599999999996</v>
      </c>
      <c r="AP716" s="131" t="s">
        <v>207</v>
      </c>
      <c r="AQ716" s="12">
        <v>820.37</v>
      </c>
      <c r="AR716" s="131" t="s">
        <v>207</v>
      </c>
      <c r="AS716" s="12">
        <v>975.68</v>
      </c>
      <c r="AT716" s="131" t="s">
        <v>207</v>
      </c>
      <c r="AU716" s="11">
        <f t="shared" si="32"/>
        <v>7525.4260000000004</v>
      </c>
      <c r="AV716" s="329" t="s">
        <v>1674</v>
      </c>
      <c r="AW716" s="23" t="s">
        <v>211</v>
      </c>
      <c r="AX716" s="23" t="s">
        <v>208</v>
      </c>
      <c r="AY716" s="24">
        <v>7</v>
      </c>
      <c r="AZ716" s="24"/>
    </row>
    <row r="717" spans="1:52" ht="15" customHeight="1" x14ac:dyDescent="0.3">
      <c r="A717" s="114">
        <v>706</v>
      </c>
      <c r="B717" s="174" t="s">
        <v>1549</v>
      </c>
      <c r="C717" s="11" t="s">
        <v>1619</v>
      </c>
      <c r="D717" s="11" t="s">
        <v>288</v>
      </c>
      <c r="E717" s="29" t="s">
        <v>205</v>
      </c>
      <c r="F717" s="11" t="s">
        <v>1620</v>
      </c>
      <c r="G717" s="25" t="s">
        <v>145</v>
      </c>
      <c r="H717" s="23" t="s">
        <v>146</v>
      </c>
      <c r="I717" s="24">
        <v>2</v>
      </c>
      <c r="J717" s="23" t="s">
        <v>205</v>
      </c>
      <c r="K717" s="23">
        <v>100</v>
      </c>
      <c r="L717" s="23" t="s">
        <v>1621</v>
      </c>
      <c r="M717" s="23" t="s">
        <v>211</v>
      </c>
      <c r="N717" s="122" t="s">
        <v>218</v>
      </c>
      <c r="O717" s="23"/>
      <c r="P717" s="132" t="s">
        <v>218</v>
      </c>
      <c r="Q717" s="23"/>
      <c r="R717" s="23" t="s">
        <v>1622</v>
      </c>
      <c r="S717" s="23"/>
      <c r="T717" s="23"/>
      <c r="U717" s="354">
        <v>2469</v>
      </c>
      <c r="V717" s="24">
        <v>2692.8</v>
      </c>
      <c r="W717" s="24">
        <f>320.5+223.9</f>
        <v>544.4</v>
      </c>
      <c r="X717" s="133" t="s">
        <v>207</v>
      </c>
      <c r="Y717" s="12">
        <f>274.09+184.4</f>
        <v>458.49</v>
      </c>
      <c r="Z717" s="133" t="s">
        <v>207</v>
      </c>
      <c r="AA717" s="12">
        <f>266.88+180.96</f>
        <v>447.84000000000003</v>
      </c>
      <c r="AB717" s="133" t="s">
        <v>207</v>
      </c>
      <c r="AC717" s="12">
        <v>435.2</v>
      </c>
      <c r="AD717" s="131" t="s">
        <v>207</v>
      </c>
      <c r="AE717" s="12">
        <v>144.57</v>
      </c>
      <c r="AF717" s="131" t="s">
        <v>207</v>
      </c>
      <c r="AG717" s="325">
        <v>0</v>
      </c>
      <c r="AH717" s="328"/>
      <c r="AI717" s="325">
        <v>0</v>
      </c>
      <c r="AJ717" s="328"/>
      <c r="AK717" s="325">
        <v>0</v>
      </c>
      <c r="AL717" s="328"/>
      <c r="AM717" s="325">
        <v>0</v>
      </c>
      <c r="AN717" s="328"/>
      <c r="AO717" s="12">
        <v>224.57</v>
      </c>
      <c r="AP717" s="131" t="s">
        <v>207</v>
      </c>
      <c r="AQ717" s="12">
        <v>294.22000000000003</v>
      </c>
      <c r="AR717" s="131" t="s">
        <v>207</v>
      </c>
      <c r="AS717" s="12">
        <v>391.38</v>
      </c>
      <c r="AT717" s="131" t="s">
        <v>207</v>
      </c>
      <c r="AU717" s="11">
        <f t="shared" si="32"/>
        <v>2940.67</v>
      </c>
      <c r="AV717" s="329" t="s">
        <v>1675</v>
      </c>
      <c r="AW717" s="23" t="s">
        <v>211</v>
      </c>
      <c r="AX717" s="23" t="s">
        <v>208</v>
      </c>
      <c r="AY717" s="24">
        <v>2</v>
      </c>
      <c r="AZ717" s="24"/>
    </row>
    <row r="718" spans="1:52" ht="15" customHeight="1" x14ac:dyDescent="0.3">
      <c r="A718" s="114">
        <v>707</v>
      </c>
      <c r="B718" s="174" t="s">
        <v>1550</v>
      </c>
      <c r="C718" s="11" t="s">
        <v>1619</v>
      </c>
      <c r="D718" s="11" t="s">
        <v>288</v>
      </c>
      <c r="E718" s="29" t="s">
        <v>205</v>
      </c>
      <c r="F718" s="11" t="s">
        <v>1620</v>
      </c>
      <c r="G718" s="25" t="s">
        <v>145</v>
      </c>
      <c r="H718" s="23" t="s">
        <v>146</v>
      </c>
      <c r="I718" s="24">
        <v>2</v>
      </c>
      <c r="J718" s="23" t="s">
        <v>205</v>
      </c>
      <c r="K718" s="23">
        <v>100</v>
      </c>
      <c r="L718" s="23" t="s">
        <v>1621</v>
      </c>
      <c r="M718" s="23" t="s">
        <v>211</v>
      </c>
      <c r="N718" s="122" t="s">
        <v>218</v>
      </c>
      <c r="O718" s="23"/>
      <c r="P718" s="132" t="s">
        <v>218</v>
      </c>
      <c r="Q718" s="23"/>
      <c r="R718" s="23" t="s">
        <v>1622</v>
      </c>
      <c r="S718" s="23"/>
      <c r="T718" s="23"/>
      <c r="U718" s="354">
        <v>2487</v>
      </c>
      <c r="V718" s="24">
        <v>2821.65</v>
      </c>
      <c r="W718" s="24">
        <f>237.97+331.58</f>
        <v>569.54999999999995</v>
      </c>
      <c r="X718" s="133" t="s">
        <v>207</v>
      </c>
      <c r="Y718" s="12">
        <f>208.4+288.4</f>
        <v>496.79999999999995</v>
      </c>
      <c r="Z718" s="133" t="s">
        <v>207</v>
      </c>
      <c r="AA718" s="12">
        <f>203.92+288.66</f>
        <v>492.58000000000004</v>
      </c>
      <c r="AB718" s="133" t="s">
        <v>207</v>
      </c>
      <c r="AC718" s="12">
        <v>385.2</v>
      </c>
      <c r="AD718" s="131" t="s">
        <v>207</v>
      </c>
      <c r="AE718" s="12">
        <v>136.47999999999999</v>
      </c>
      <c r="AF718" s="131" t="s">
        <v>207</v>
      </c>
      <c r="AG718" s="325">
        <v>0</v>
      </c>
      <c r="AH718" s="328"/>
      <c r="AI718" s="325">
        <v>0</v>
      </c>
      <c r="AJ718" s="328"/>
      <c r="AK718" s="325">
        <v>0</v>
      </c>
      <c r="AL718" s="328"/>
      <c r="AM718" s="325">
        <v>0</v>
      </c>
      <c r="AN718" s="328"/>
      <c r="AO718" s="12">
        <v>269.16000000000003</v>
      </c>
      <c r="AP718" s="131" t="s">
        <v>207</v>
      </c>
      <c r="AQ718" s="12">
        <v>328.13</v>
      </c>
      <c r="AR718" s="131" t="s">
        <v>207</v>
      </c>
      <c r="AS718" s="12">
        <v>372.47800000000001</v>
      </c>
      <c r="AT718" s="131" t="s">
        <v>207</v>
      </c>
      <c r="AU718" s="11">
        <f t="shared" si="32"/>
        <v>3050.3779999999997</v>
      </c>
      <c r="AV718" s="329" t="s">
        <v>1676</v>
      </c>
      <c r="AW718" s="23" t="s">
        <v>211</v>
      </c>
      <c r="AX718" s="23" t="s">
        <v>208</v>
      </c>
      <c r="AY718" s="24">
        <v>2</v>
      </c>
      <c r="AZ718" s="24"/>
    </row>
    <row r="719" spans="1:52" ht="15" customHeight="1" x14ac:dyDescent="0.3">
      <c r="A719" s="114">
        <v>708</v>
      </c>
      <c r="B719" s="174" t="s">
        <v>1551</v>
      </c>
      <c r="C719" s="11" t="s">
        <v>1619</v>
      </c>
      <c r="D719" s="11" t="s">
        <v>288</v>
      </c>
      <c r="E719" s="29" t="s">
        <v>289</v>
      </c>
      <c r="F719" s="11" t="s">
        <v>1620</v>
      </c>
      <c r="G719" s="25" t="s">
        <v>145</v>
      </c>
      <c r="H719" s="23" t="s">
        <v>146</v>
      </c>
      <c r="I719" s="24">
        <v>1</v>
      </c>
      <c r="J719" s="23" t="s">
        <v>289</v>
      </c>
      <c r="K719" s="23">
        <v>80</v>
      </c>
      <c r="L719" s="23" t="s">
        <v>1621</v>
      </c>
      <c r="M719" s="23" t="s">
        <v>223</v>
      </c>
      <c r="N719" s="122" t="s">
        <v>218</v>
      </c>
      <c r="O719" s="23"/>
      <c r="P719" s="132" t="s">
        <v>218</v>
      </c>
      <c r="Q719" s="23"/>
      <c r="R719" s="23" t="s">
        <v>1639</v>
      </c>
      <c r="S719" s="23"/>
      <c r="T719" s="23"/>
      <c r="U719" s="354">
        <v>1061.77</v>
      </c>
      <c r="V719" s="24">
        <v>1053.6199999999999</v>
      </c>
      <c r="W719" s="24">
        <v>190.81</v>
      </c>
      <c r="X719" s="133" t="s">
        <v>207</v>
      </c>
      <c r="Y719" s="12">
        <v>157.51</v>
      </c>
      <c r="Z719" s="133" t="s">
        <v>207</v>
      </c>
      <c r="AA719" s="12">
        <v>141.54</v>
      </c>
      <c r="AB719" s="133" t="s">
        <v>207</v>
      </c>
      <c r="AC719" s="12">
        <v>129.03</v>
      </c>
      <c r="AD719" s="131" t="s">
        <v>207</v>
      </c>
      <c r="AE719" s="12">
        <v>36.476999999999997</v>
      </c>
      <c r="AF719" s="131" t="s">
        <v>207</v>
      </c>
      <c r="AG719" s="325">
        <v>0</v>
      </c>
      <c r="AH719" s="328"/>
      <c r="AI719" s="325">
        <v>0</v>
      </c>
      <c r="AJ719" s="328"/>
      <c r="AK719" s="325">
        <v>0</v>
      </c>
      <c r="AL719" s="328"/>
      <c r="AM719" s="325">
        <v>0</v>
      </c>
      <c r="AN719" s="328"/>
      <c r="AO719" s="12">
        <v>75.91</v>
      </c>
      <c r="AP719" s="131" t="s">
        <v>207</v>
      </c>
      <c r="AQ719" s="12">
        <v>101.09</v>
      </c>
      <c r="AR719" s="131" t="s">
        <v>207</v>
      </c>
      <c r="AS719" s="12">
        <v>130.76</v>
      </c>
      <c r="AT719" s="131" t="s">
        <v>207</v>
      </c>
      <c r="AU719" s="11">
        <f t="shared" si="32"/>
        <v>963.12699999999995</v>
      </c>
      <c r="AV719" s="329" t="s">
        <v>1677</v>
      </c>
      <c r="AW719" s="23" t="s">
        <v>223</v>
      </c>
      <c r="AX719" s="23" t="s">
        <v>208</v>
      </c>
      <c r="AY719" s="24"/>
      <c r="AZ719" s="24"/>
    </row>
    <row r="720" spans="1:52" ht="15" customHeight="1" x14ac:dyDescent="0.3">
      <c r="A720" s="114">
        <v>709</v>
      </c>
      <c r="B720" s="174" t="s">
        <v>1552</v>
      </c>
      <c r="C720" s="11" t="s">
        <v>1619</v>
      </c>
      <c r="D720" s="11" t="s">
        <v>288</v>
      </c>
      <c r="E720" s="29" t="s">
        <v>205</v>
      </c>
      <c r="F720" s="11" t="s">
        <v>1620</v>
      </c>
      <c r="G720" s="25" t="s">
        <v>145</v>
      </c>
      <c r="H720" s="23" t="s">
        <v>146</v>
      </c>
      <c r="I720" s="24">
        <v>2</v>
      </c>
      <c r="J720" s="23" t="s">
        <v>205</v>
      </c>
      <c r="K720" s="23">
        <v>100</v>
      </c>
      <c r="L720" s="23" t="s">
        <v>1621</v>
      </c>
      <c r="M720" s="23" t="s">
        <v>211</v>
      </c>
      <c r="N720" s="122" t="s">
        <v>218</v>
      </c>
      <c r="O720" s="23"/>
      <c r="P720" s="132" t="s">
        <v>218</v>
      </c>
      <c r="Q720" s="23"/>
      <c r="R720" s="23" t="s">
        <v>1622</v>
      </c>
      <c r="S720" s="23"/>
      <c r="T720" s="23"/>
      <c r="U720" s="354">
        <v>2565.94</v>
      </c>
      <c r="V720" s="24">
        <v>2970.56</v>
      </c>
      <c r="W720" s="24">
        <f>328.86+204.392</f>
        <v>533.25199999999995</v>
      </c>
      <c r="X720" s="133" t="s">
        <v>207</v>
      </c>
      <c r="Y720" s="12">
        <f>257.94+172.57</f>
        <v>430.51</v>
      </c>
      <c r="Z720" s="133" t="s">
        <v>207</v>
      </c>
      <c r="AA720" s="12">
        <f>276.92+166.82</f>
        <v>443.74</v>
      </c>
      <c r="AB720" s="133" t="s">
        <v>207</v>
      </c>
      <c r="AC720" s="12">
        <v>384.2</v>
      </c>
      <c r="AD720" s="131" t="s">
        <v>207</v>
      </c>
      <c r="AE720" s="12">
        <v>136.76</v>
      </c>
      <c r="AF720" s="131" t="s">
        <v>207</v>
      </c>
      <c r="AG720" s="325">
        <v>0</v>
      </c>
      <c r="AH720" s="328"/>
      <c r="AI720" s="325">
        <v>0</v>
      </c>
      <c r="AJ720" s="328"/>
      <c r="AK720" s="325">
        <v>0</v>
      </c>
      <c r="AL720" s="328"/>
      <c r="AM720" s="325">
        <v>0</v>
      </c>
      <c r="AN720" s="328"/>
      <c r="AO720" s="12">
        <v>202.48</v>
      </c>
      <c r="AP720" s="131" t="s">
        <v>207</v>
      </c>
      <c r="AQ720" s="12">
        <v>310.02999999999997</v>
      </c>
      <c r="AR720" s="131" t="s">
        <v>207</v>
      </c>
      <c r="AS720" s="12">
        <v>383.4</v>
      </c>
      <c r="AT720" s="131" t="s">
        <v>207</v>
      </c>
      <c r="AU720" s="11">
        <f t="shared" si="32"/>
        <v>2824.3719999999998</v>
      </c>
      <c r="AV720" s="329" t="s">
        <v>1678</v>
      </c>
      <c r="AW720" s="23" t="s">
        <v>211</v>
      </c>
      <c r="AX720" s="23" t="s">
        <v>208</v>
      </c>
      <c r="AY720" s="24">
        <v>2</v>
      </c>
      <c r="AZ720" s="24"/>
    </row>
    <row r="721" spans="1:52" ht="15" customHeight="1" x14ac:dyDescent="0.3">
      <c r="A721" s="114">
        <v>710</v>
      </c>
      <c r="B721" s="174" t="s">
        <v>1553</v>
      </c>
      <c r="C721" s="11" t="s">
        <v>1619</v>
      </c>
      <c r="D721" s="11" t="s">
        <v>288</v>
      </c>
      <c r="E721" s="29" t="s">
        <v>205</v>
      </c>
      <c r="F721" s="11" t="s">
        <v>1620</v>
      </c>
      <c r="G721" s="25" t="s">
        <v>145</v>
      </c>
      <c r="H721" s="23" t="s">
        <v>146</v>
      </c>
      <c r="I721" s="24">
        <v>2</v>
      </c>
      <c r="J721" s="23" t="s">
        <v>205</v>
      </c>
      <c r="K721" s="23">
        <v>100</v>
      </c>
      <c r="L721" s="23" t="s">
        <v>1621</v>
      </c>
      <c r="M721" s="23" t="s">
        <v>211</v>
      </c>
      <c r="N721" s="122" t="s">
        <v>218</v>
      </c>
      <c r="O721" s="23"/>
      <c r="P721" s="132" t="s">
        <v>218</v>
      </c>
      <c r="Q721" s="23"/>
      <c r="R721" s="23" t="s">
        <v>1622</v>
      </c>
      <c r="S721" s="23"/>
      <c r="T721" s="23"/>
      <c r="U721" s="354">
        <v>1818.89</v>
      </c>
      <c r="V721" s="24">
        <v>2024.57</v>
      </c>
      <c r="W721" s="24">
        <f>149.99+219.7</f>
        <v>369.69</v>
      </c>
      <c r="X721" s="133" t="s">
        <v>207</v>
      </c>
      <c r="Y721" s="12">
        <f>132.37+184.57</f>
        <v>316.94</v>
      </c>
      <c r="Z721" s="133" t="s">
        <v>207</v>
      </c>
      <c r="AA721" s="12">
        <f>133.54+188.6</f>
        <v>322.14</v>
      </c>
      <c r="AB721" s="133" t="s">
        <v>207</v>
      </c>
      <c r="AC721" s="12">
        <v>254.8</v>
      </c>
      <c r="AD721" s="131" t="s">
        <v>207</v>
      </c>
      <c r="AE721" s="12">
        <v>85.85</v>
      </c>
      <c r="AF721" s="131" t="s">
        <v>207</v>
      </c>
      <c r="AG721" s="325">
        <v>0</v>
      </c>
      <c r="AH721" s="328"/>
      <c r="AI721" s="325">
        <v>0</v>
      </c>
      <c r="AJ721" s="328"/>
      <c r="AK721" s="325">
        <v>0</v>
      </c>
      <c r="AL721" s="328"/>
      <c r="AM721" s="325">
        <v>0</v>
      </c>
      <c r="AN721" s="328"/>
      <c r="AO721" s="12">
        <v>129.79</v>
      </c>
      <c r="AP721" s="131" t="s">
        <v>207</v>
      </c>
      <c r="AQ721" s="12">
        <v>236.93</v>
      </c>
      <c r="AR721" s="131" t="s">
        <v>207</v>
      </c>
      <c r="AS721" s="12">
        <v>286.8</v>
      </c>
      <c r="AT721" s="131" t="s">
        <v>207</v>
      </c>
      <c r="AU721" s="11">
        <f t="shared" si="32"/>
        <v>2002.9399999999998</v>
      </c>
      <c r="AV721" s="329" t="s">
        <v>1679</v>
      </c>
      <c r="AW721" s="23" t="s">
        <v>211</v>
      </c>
      <c r="AX721" s="23" t="s">
        <v>208</v>
      </c>
      <c r="AY721" s="24">
        <v>2</v>
      </c>
      <c r="AZ721" s="24"/>
    </row>
    <row r="722" spans="1:52" ht="15" customHeight="1" x14ac:dyDescent="0.3">
      <c r="A722" s="114">
        <v>711</v>
      </c>
      <c r="B722" s="174" t="s">
        <v>1554</v>
      </c>
      <c r="C722" s="11" t="s">
        <v>1619</v>
      </c>
      <c r="D722" s="11" t="s">
        <v>288</v>
      </c>
      <c r="E722" s="29" t="s">
        <v>205</v>
      </c>
      <c r="F722" s="11" t="s">
        <v>1620</v>
      </c>
      <c r="G722" s="25" t="s">
        <v>145</v>
      </c>
      <c r="H722" s="23" t="s">
        <v>146</v>
      </c>
      <c r="I722" s="24">
        <v>1</v>
      </c>
      <c r="J722" s="23" t="s">
        <v>205</v>
      </c>
      <c r="K722" s="23">
        <v>100</v>
      </c>
      <c r="L722" s="23" t="s">
        <v>1621</v>
      </c>
      <c r="M722" s="23" t="s">
        <v>211</v>
      </c>
      <c r="N722" s="122" t="s">
        <v>218</v>
      </c>
      <c r="O722" s="23"/>
      <c r="P722" s="132" t="s">
        <v>218</v>
      </c>
      <c r="Q722" s="23"/>
      <c r="R722" s="23" t="s">
        <v>1622</v>
      </c>
      <c r="S722" s="23"/>
      <c r="T722" s="23"/>
      <c r="U722" s="354">
        <v>1539.94</v>
      </c>
      <c r="V722" s="24">
        <v>1564.28</v>
      </c>
      <c r="W722" s="24">
        <v>237.24</v>
      </c>
      <c r="X722" s="133" t="s">
        <v>207</v>
      </c>
      <c r="Y722" s="12">
        <v>212.64</v>
      </c>
      <c r="Z722" s="133" t="s">
        <v>207</v>
      </c>
      <c r="AA722" s="12">
        <v>199.75</v>
      </c>
      <c r="AB722" s="133" t="s">
        <v>207</v>
      </c>
      <c r="AC722" s="12">
        <v>183.52</v>
      </c>
      <c r="AD722" s="131" t="s">
        <v>207</v>
      </c>
      <c r="AE722" s="12">
        <v>76.540000000000006</v>
      </c>
      <c r="AF722" s="131" t="s">
        <v>207</v>
      </c>
      <c r="AG722" s="325">
        <v>0</v>
      </c>
      <c r="AH722" s="328"/>
      <c r="AI722" s="325">
        <v>0</v>
      </c>
      <c r="AJ722" s="328"/>
      <c r="AK722" s="325">
        <v>0</v>
      </c>
      <c r="AL722" s="328"/>
      <c r="AM722" s="325">
        <v>0</v>
      </c>
      <c r="AN722" s="328"/>
      <c r="AO722" s="12">
        <v>97.33</v>
      </c>
      <c r="AP722" s="131" t="s">
        <v>207</v>
      </c>
      <c r="AQ722" s="12">
        <v>145.57</v>
      </c>
      <c r="AR722" s="131" t="s">
        <v>207</v>
      </c>
      <c r="AS722" s="12">
        <v>192.51</v>
      </c>
      <c r="AT722" s="131" t="s">
        <v>207</v>
      </c>
      <c r="AU722" s="11">
        <f t="shared" si="32"/>
        <v>1345.1</v>
      </c>
      <c r="AV722" s="329" t="s">
        <v>1680</v>
      </c>
      <c r="AW722" s="23" t="s">
        <v>211</v>
      </c>
      <c r="AX722" s="23" t="s">
        <v>208</v>
      </c>
      <c r="AY722" s="24">
        <v>1</v>
      </c>
      <c r="AZ722" s="24"/>
    </row>
    <row r="723" spans="1:52" ht="15" customHeight="1" x14ac:dyDescent="0.3">
      <c r="A723" s="114">
        <v>712</v>
      </c>
      <c r="B723" s="174" t="s">
        <v>1555</v>
      </c>
      <c r="C723" s="11" t="s">
        <v>1619</v>
      </c>
      <c r="D723" s="11" t="s">
        <v>288</v>
      </c>
      <c r="E723" s="29" t="s">
        <v>205</v>
      </c>
      <c r="F723" s="11" t="s">
        <v>1620</v>
      </c>
      <c r="G723" s="25" t="s">
        <v>145</v>
      </c>
      <c r="H723" s="23" t="s">
        <v>146</v>
      </c>
      <c r="I723" s="24">
        <v>2</v>
      </c>
      <c r="J723" s="23" t="s">
        <v>205</v>
      </c>
      <c r="K723" s="23">
        <v>100</v>
      </c>
      <c r="L723" s="23" t="s">
        <v>1621</v>
      </c>
      <c r="M723" s="23" t="s">
        <v>211</v>
      </c>
      <c r="N723" s="122" t="s">
        <v>218</v>
      </c>
      <c r="O723" s="23"/>
      <c r="P723" s="132" t="s">
        <v>218</v>
      </c>
      <c r="Q723" s="23"/>
      <c r="R723" s="23" t="s">
        <v>1622</v>
      </c>
      <c r="S723" s="23"/>
      <c r="T723" s="23"/>
      <c r="U723" s="354">
        <v>1812.21</v>
      </c>
      <c r="V723" s="24">
        <v>2100.2399999999998</v>
      </c>
      <c r="W723" s="24">
        <f>181.22+271.9</f>
        <v>453.12</v>
      </c>
      <c r="X723" s="133" t="s">
        <v>207</v>
      </c>
      <c r="Y723" s="12">
        <f>163.63+247.05</f>
        <v>410.68</v>
      </c>
      <c r="Z723" s="133" t="s">
        <v>207</v>
      </c>
      <c r="AA723" s="12">
        <f>155.99+236.25</f>
        <v>392.24</v>
      </c>
      <c r="AB723" s="133" t="s">
        <v>207</v>
      </c>
      <c r="AC723" s="12">
        <v>306.89999999999998</v>
      </c>
      <c r="AD723" s="131" t="s">
        <v>207</v>
      </c>
      <c r="AE723" s="12">
        <v>111.34</v>
      </c>
      <c r="AF723" s="131" t="s">
        <v>207</v>
      </c>
      <c r="AG723" s="325">
        <v>0</v>
      </c>
      <c r="AH723" s="328"/>
      <c r="AI723" s="325">
        <v>0</v>
      </c>
      <c r="AJ723" s="328"/>
      <c r="AK723" s="325">
        <v>0</v>
      </c>
      <c r="AL723" s="328"/>
      <c r="AM723" s="325">
        <v>0</v>
      </c>
      <c r="AN723" s="328"/>
      <c r="AO723" s="12">
        <v>167.59</v>
      </c>
      <c r="AP723" s="131" t="s">
        <v>207</v>
      </c>
      <c r="AQ723" s="12">
        <v>226.23</v>
      </c>
      <c r="AR723" s="131" t="s">
        <v>207</v>
      </c>
      <c r="AS723" s="12">
        <v>284.46800000000002</v>
      </c>
      <c r="AT723" s="131" t="s">
        <v>207</v>
      </c>
      <c r="AU723" s="11">
        <f t="shared" si="32"/>
        <v>2352.5679999999998</v>
      </c>
      <c r="AV723" s="329" t="s">
        <v>1681</v>
      </c>
      <c r="AW723" s="23" t="s">
        <v>211</v>
      </c>
      <c r="AX723" s="23" t="s">
        <v>208</v>
      </c>
      <c r="AY723" s="24">
        <v>2</v>
      </c>
      <c r="AZ723" s="24"/>
    </row>
    <row r="724" spans="1:52" ht="15" customHeight="1" x14ac:dyDescent="0.3">
      <c r="A724" s="114">
        <v>713</v>
      </c>
      <c r="B724" s="174" t="s">
        <v>1556</v>
      </c>
      <c r="C724" s="11" t="s">
        <v>1619</v>
      </c>
      <c r="D724" s="11" t="s">
        <v>288</v>
      </c>
      <c r="E724" s="29" t="s">
        <v>205</v>
      </c>
      <c r="F724" s="11" t="s">
        <v>1620</v>
      </c>
      <c r="G724" s="25" t="s">
        <v>145</v>
      </c>
      <c r="H724" s="23" t="s">
        <v>146</v>
      </c>
      <c r="I724" s="24">
        <v>1</v>
      </c>
      <c r="J724" s="23" t="s">
        <v>205</v>
      </c>
      <c r="K724" s="23">
        <v>100</v>
      </c>
      <c r="L724" s="23" t="s">
        <v>1621</v>
      </c>
      <c r="M724" s="23" t="s">
        <v>211</v>
      </c>
      <c r="N724" s="122" t="s">
        <v>218</v>
      </c>
      <c r="O724" s="23"/>
      <c r="P724" s="132" t="s">
        <v>218</v>
      </c>
      <c r="Q724" s="23"/>
      <c r="R724" s="23" t="s">
        <v>1622</v>
      </c>
      <c r="S724" s="23"/>
      <c r="T724" s="23"/>
      <c r="U724" s="354">
        <v>1810.2</v>
      </c>
      <c r="V724" s="24">
        <v>1887.84</v>
      </c>
      <c r="W724" s="24">
        <v>369.09</v>
      </c>
      <c r="X724" s="133" t="s">
        <v>207</v>
      </c>
      <c r="Y724" s="12">
        <v>335.07</v>
      </c>
      <c r="Z724" s="133" t="s">
        <v>207</v>
      </c>
      <c r="AA724" s="12">
        <v>317.7</v>
      </c>
      <c r="AB724" s="133" t="s">
        <v>207</v>
      </c>
      <c r="AC724" s="12">
        <v>277.55</v>
      </c>
      <c r="AD724" s="131" t="s">
        <v>207</v>
      </c>
      <c r="AE724" s="12">
        <v>109.4</v>
      </c>
      <c r="AF724" s="131" t="s">
        <v>207</v>
      </c>
      <c r="AG724" s="325">
        <v>0</v>
      </c>
      <c r="AH724" s="328"/>
      <c r="AI724" s="325">
        <v>0</v>
      </c>
      <c r="AJ724" s="328"/>
      <c r="AK724" s="325">
        <v>0</v>
      </c>
      <c r="AL724" s="328"/>
      <c r="AM724" s="325">
        <v>0</v>
      </c>
      <c r="AN724" s="328"/>
      <c r="AO724" s="12">
        <v>135.11000000000001</v>
      </c>
      <c r="AP724" s="131" t="s">
        <v>207</v>
      </c>
      <c r="AQ724" s="12">
        <v>199.47</v>
      </c>
      <c r="AR724" s="131" t="s">
        <v>207</v>
      </c>
      <c r="AS724" s="12">
        <v>218.44</v>
      </c>
      <c r="AT724" s="131" t="s">
        <v>207</v>
      </c>
      <c r="AU724" s="11">
        <f t="shared" ref="AU724:AU786" si="33">W724+Y724+AA724+AC724+AE724+AO724+AQ724+AS724</f>
        <v>1961.8300000000002</v>
      </c>
      <c r="AV724" s="329" t="s">
        <v>1682</v>
      </c>
      <c r="AW724" s="23" t="s">
        <v>211</v>
      </c>
      <c r="AX724" s="23" t="s">
        <v>208</v>
      </c>
      <c r="AY724" s="24">
        <v>1</v>
      </c>
      <c r="AZ724" s="24"/>
    </row>
    <row r="725" spans="1:52" ht="15" customHeight="1" x14ac:dyDescent="0.3">
      <c r="A725" s="114">
        <v>714</v>
      </c>
      <c r="B725" s="174" t="s">
        <v>1557</v>
      </c>
      <c r="C725" s="11" t="s">
        <v>1619</v>
      </c>
      <c r="D725" s="11" t="s">
        <v>288</v>
      </c>
      <c r="E725" s="29" t="s">
        <v>289</v>
      </c>
      <c r="F725" s="11" t="s">
        <v>1620</v>
      </c>
      <c r="G725" s="25" t="s">
        <v>145</v>
      </c>
      <c r="H725" s="23" t="s">
        <v>146</v>
      </c>
      <c r="I725" s="24">
        <v>1</v>
      </c>
      <c r="J725" s="23" t="s">
        <v>205</v>
      </c>
      <c r="K725" s="23">
        <v>100</v>
      </c>
      <c r="L725" s="23" t="s">
        <v>1621</v>
      </c>
      <c r="M725" s="23" t="s">
        <v>211</v>
      </c>
      <c r="N725" s="122" t="s">
        <v>218</v>
      </c>
      <c r="O725" s="23"/>
      <c r="P725" s="132" t="s">
        <v>218</v>
      </c>
      <c r="Q725" s="23"/>
      <c r="R725" s="23" t="s">
        <v>1639</v>
      </c>
      <c r="S725" s="23" t="s">
        <v>218</v>
      </c>
      <c r="T725" s="23"/>
      <c r="U725" s="354">
        <v>1071.77</v>
      </c>
      <c r="V725" s="24">
        <v>1192.67</v>
      </c>
      <c r="W725" s="24">
        <v>188.19</v>
      </c>
      <c r="X725" s="133" t="s">
        <v>207</v>
      </c>
      <c r="Y725" s="12">
        <v>175.58</v>
      </c>
      <c r="Z725" s="133" t="s">
        <v>207</v>
      </c>
      <c r="AA725" s="12">
        <v>164.33</v>
      </c>
      <c r="AB725" s="133" t="s">
        <v>207</v>
      </c>
      <c r="AC725" s="12">
        <v>135.31</v>
      </c>
      <c r="AD725" s="131" t="s">
        <v>207</v>
      </c>
      <c r="AE725" s="12">
        <v>43.9</v>
      </c>
      <c r="AF725" s="131" t="s">
        <v>207</v>
      </c>
      <c r="AG725" s="325">
        <v>0</v>
      </c>
      <c r="AH725" s="328"/>
      <c r="AI725" s="325">
        <v>0</v>
      </c>
      <c r="AJ725" s="328"/>
      <c r="AK725" s="325">
        <v>0</v>
      </c>
      <c r="AL725" s="328"/>
      <c r="AM725" s="325">
        <v>0</v>
      </c>
      <c r="AN725" s="328"/>
      <c r="AO725" s="12">
        <v>86.72</v>
      </c>
      <c r="AP725" s="131" t="s">
        <v>207</v>
      </c>
      <c r="AQ725" s="12">
        <v>102.55</v>
      </c>
      <c r="AR725" s="131" t="s">
        <v>207</v>
      </c>
      <c r="AS725" s="12">
        <v>132.52799999999999</v>
      </c>
      <c r="AT725" s="131" t="s">
        <v>207</v>
      </c>
      <c r="AU725" s="11">
        <f t="shared" si="33"/>
        <v>1029.1079999999999</v>
      </c>
      <c r="AV725" s="329" t="s">
        <v>1683</v>
      </c>
      <c r="AW725" s="23" t="s">
        <v>211</v>
      </c>
      <c r="AX725" s="23" t="s">
        <v>208</v>
      </c>
      <c r="AY725" s="24"/>
      <c r="AZ725" s="24"/>
    </row>
    <row r="726" spans="1:52" ht="15" customHeight="1" x14ac:dyDescent="0.3">
      <c r="A726" s="114">
        <v>715</v>
      </c>
      <c r="B726" s="174" t="s">
        <v>1558</v>
      </c>
      <c r="C726" s="11" t="s">
        <v>1619</v>
      </c>
      <c r="D726" s="11" t="s">
        <v>288</v>
      </c>
      <c r="E726" s="29" t="s">
        <v>205</v>
      </c>
      <c r="F726" s="11" t="s">
        <v>1620</v>
      </c>
      <c r="G726" s="25" t="s">
        <v>145</v>
      </c>
      <c r="H726" s="23" t="s">
        <v>146</v>
      </c>
      <c r="I726" s="24">
        <v>1</v>
      </c>
      <c r="J726" s="23" t="s">
        <v>205</v>
      </c>
      <c r="K726" s="23">
        <v>100</v>
      </c>
      <c r="L726" s="23" t="s">
        <v>1621</v>
      </c>
      <c r="M726" s="23" t="s">
        <v>211</v>
      </c>
      <c r="N726" s="122" t="s">
        <v>218</v>
      </c>
      <c r="O726" s="23"/>
      <c r="P726" s="132" t="s">
        <v>218</v>
      </c>
      <c r="Q726" s="23"/>
      <c r="R726" s="23" t="s">
        <v>1622</v>
      </c>
      <c r="S726" s="23"/>
      <c r="T726" s="23"/>
      <c r="U726" s="354">
        <v>1466.23</v>
      </c>
      <c r="V726" s="24">
        <v>1760.1</v>
      </c>
      <c r="W726" s="24">
        <v>351.541</v>
      </c>
      <c r="X726" s="133" t="s">
        <v>207</v>
      </c>
      <c r="Y726" s="12">
        <v>261.37</v>
      </c>
      <c r="Z726" s="133" t="s">
        <v>207</v>
      </c>
      <c r="AA726" s="12">
        <v>282.06</v>
      </c>
      <c r="AB726" s="133" t="s">
        <v>207</v>
      </c>
      <c r="AC726" s="12">
        <v>279.8</v>
      </c>
      <c r="AD726" s="131" t="s">
        <v>207</v>
      </c>
      <c r="AE726" s="12">
        <v>100.46</v>
      </c>
      <c r="AF726" s="131" t="s">
        <v>207</v>
      </c>
      <c r="AG726" s="325">
        <v>0</v>
      </c>
      <c r="AH726" s="328"/>
      <c r="AI726" s="325">
        <v>0</v>
      </c>
      <c r="AJ726" s="328"/>
      <c r="AK726" s="325">
        <v>0</v>
      </c>
      <c r="AL726" s="328"/>
      <c r="AM726" s="325">
        <v>0</v>
      </c>
      <c r="AN726" s="328"/>
      <c r="AO726" s="12">
        <v>144.19999999999999</v>
      </c>
      <c r="AP726" s="131" t="s">
        <v>207</v>
      </c>
      <c r="AQ726" s="12">
        <v>227.98</v>
      </c>
      <c r="AR726" s="131" t="s">
        <v>207</v>
      </c>
      <c r="AS726" s="12">
        <v>236.952</v>
      </c>
      <c r="AT726" s="131" t="s">
        <v>207</v>
      </c>
      <c r="AU726" s="11">
        <f t="shared" si="33"/>
        <v>1884.3630000000001</v>
      </c>
      <c r="AV726" s="329" t="s">
        <v>1682</v>
      </c>
      <c r="AW726" s="23" t="s">
        <v>211</v>
      </c>
      <c r="AX726" s="23" t="s">
        <v>208</v>
      </c>
      <c r="AY726" s="24">
        <v>1</v>
      </c>
      <c r="AZ726" s="24"/>
    </row>
    <row r="727" spans="1:52" ht="15" customHeight="1" x14ac:dyDescent="0.3">
      <c r="A727" s="114">
        <v>716</v>
      </c>
      <c r="B727" s="174" t="s">
        <v>1559</v>
      </c>
      <c r="C727" s="11" t="s">
        <v>1619</v>
      </c>
      <c r="D727" s="11" t="s">
        <v>288</v>
      </c>
      <c r="E727" s="29" t="s">
        <v>205</v>
      </c>
      <c r="F727" s="11" t="s">
        <v>1620</v>
      </c>
      <c r="G727" s="25" t="s">
        <v>145</v>
      </c>
      <c r="H727" s="23" t="s">
        <v>146</v>
      </c>
      <c r="I727" s="24">
        <v>2</v>
      </c>
      <c r="J727" s="23" t="s">
        <v>205</v>
      </c>
      <c r="K727" s="23">
        <v>100</v>
      </c>
      <c r="L727" s="23" t="s">
        <v>1621</v>
      </c>
      <c r="M727" s="23" t="s">
        <v>211</v>
      </c>
      <c r="N727" s="122" t="s">
        <v>218</v>
      </c>
      <c r="O727" s="23"/>
      <c r="P727" s="132" t="s">
        <v>218</v>
      </c>
      <c r="Q727" s="23"/>
      <c r="R727" s="23" t="s">
        <v>1622</v>
      </c>
      <c r="S727" s="23"/>
      <c r="T727" s="23"/>
      <c r="U727" s="354">
        <v>1812.15</v>
      </c>
      <c r="V727" s="24">
        <v>2154.17</v>
      </c>
      <c r="W727" s="24">
        <f>170.2+244.85</f>
        <v>415.04999999999995</v>
      </c>
      <c r="X727" s="133" t="s">
        <v>207</v>
      </c>
      <c r="Y727" s="12">
        <f>149.45+212.51</f>
        <v>361.96</v>
      </c>
      <c r="Z727" s="133" t="s">
        <v>207</v>
      </c>
      <c r="AA727" s="12">
        <f>151.91+207.49</f>
        <v>359.4</v>
      </c>
      <c r="AB727" s="133" t="s">
        <v>207</v>
      </c>
      <c r="AC727" s="12">
        <v>297.39999999999998</v>
      </c>
      <c r="AD727" s="131" t="s">
        <v>207</v>
      </c>
      <c r="AE727" s="12">
        <v>124.65</v>
      </c>
      <c r="AF727" s="131" t="s">
        <v>207</v>
      </c>
      <c r="AG727" s="325">
        <v>0</v>
      </c>
      <c r="AH727" s="328"/>
      <c r="AI727" s="325">
        <v>0</v>
      </c>
      <c r="AJ727" s="328"/>
      <c r="AK727" s="325">
        <v>0</v>
      </c>
      <c r="AL727" s="328"/>
      <c r="AM727" s="325">
        <v>0</v>
      </c>
      <c r="AN727" s="328"/>
      <c r="AO727" s="12">
        <v>188.16</v>
      </c>
      <c r="AP727" s="131" t="s">
        <v>207</v>
      </c>
      <c r="AQ727" s="12">
        <v>248.47</v>
      </c>
      <c r="AR727" s="131" t="s">
        <v>207</v>
      </c>
      <c r="AS727" s="12">
        <v>297.39</v>
      </c>
      <c r="AT727" s="131" t="s">
        <v>207</v>
      </c>
      <c r="AU727" s="11">
        <f t="shared" si="33"/>
        <v>2292.48</v>
      </c>
      <c r="AV727" s="329" t="s">
        <v>1684</v>
      </c>
      <c r="AW727" s="23" t="s">
        <v>211</v>
      </c>
      <c r="AX727" s="23" t="s">
        <v>208</v>
      </c>
      <c r="AY727" s="24">
        <v>2</v>
      </c>
      <c r="AZ727" s="24"/>
    </row>
    <row r="728" spans="1:52" ht="15" customHeight="1" x14ac:dyDescent="0.3">
      <c r="A728" s="114">
        <v>717</v>
      </c>
      <c r="B728" s="174" t="s">
        <v>1560</v>
      </c>
      <c r="C728" s="11" t="s">
        <v>1619</v>
      </c>
      <c r="D728" s="11" t="s">
        <v>288</v>
      </c>
      <c r="E728" s="29" t="s">
        <v>205</v>
      </c>
      <c r="F728" s="11" t="s">
        <v>1620</v>
      </c>
      <c r="G728" s="25" t="s">
        <v>145</v>
      </c>
      <c r="H728" s="23" t="s">
        <v>146</v>
      </c>
      <c r="I728" s="24">
        <v>2</v>
      </c>
      <c r="J728" s="23" t="s">
        <v>205</v>
      </c>
      <c r="K728" s="23">
        <v>100</v>
      </c>
      <c r="L728" s="23" t="s">
        <v>1621</v>
      </c>
      <c r="M728" s="23" t="s">
        <v>211</v>
      </c>
      <c r="N728" s="122" t="s">
        <v>218</v>
      </c>
      <c r="O728" s="23"/>
      <c r="P728" s="132" t="s">
        <v>218</v>
      </c>
      <c r="Q728" s="23"/>
      <c r="R728" s="23" t="s">
        <v>1622</v>
      </c>
      <c r="S728" s="23"/>
      <c r="T728" s="23"/>
      <c r="U728" s="354">
        <v>1801.05</v>
      </c>
      <c r="V728" s="24">
        <v>2141.29</v>
      </c>
      <c r="W728" s="24">
        <f>165.26+232.19</f>
        <v>397.45</v>
      </c>
      <c r="X728" s="133" t="s">
        <v>207</v>
      </c>
      <c r="Y728" s="12">
        <f>148.91+215.19</f>
        <v>364.1</v>
      </c>
      <c r="Z728" s="133" t="s">
        <v>207</v>
      </c>
      <c r="AA728" s="12">
        <f>149.82+211.33</f>
        <v>361.15</v>
      </c>
      <c r="AB728" s="133" t="s">
        <v>207</v>
      </c>
      <c r="AC728" s="12">
        <v>278.5</v>
      </c>
      <c r="AD728" s="131" t="s">
        <v>207</v>
      </c>
      <c r="AE728" s="12">
        <v>102.64</v>
      </c>
      <c r="AF728" s="131" t="s">
        <v>207</v>
      </c>
      <c r="AG728" s="325">
        <v>0</v>
      </c>
      <c r="AH728" s="328"/>
      <c r="AI728" s="325">
        <v>0</v>
      </c>
      <c r="AJ728" s="328"/>
      <c r="AK728" s="325">
        <v>0</v>
      </c>
      <c r="AL728" s="328"/>
      <c r="AM728" s="325">
        <v>0</v>
      </c>
      <c r="AN728" s="328"/>
      <c r="AO728" s="12">
        <v>186.69</v>
      </c>
      <c r="AP728" s="131" t="s">
        <v>207</v>
      </c>
      <c r="AQ728" s="12">
        <v>243.43</v>
      </c>
      <c r="AR728" s="131" t="s">
        <v>207</v>
      </c>
      <c r="AS728" s="12">
        <v>301.95999999999998</v>
      </c>
      <c r="AT728" s="131" t="s">
        <v>207</v>
      </c>
      <c r="AU728" s="11">
        <f t="shared" si="33"/>
        <v>2235.92</v>
      </c>
      <c r="AV728" s="329" t="s">
        <v>1685</v>
      </c>
      <c r="AW728" s="23" t="s">
        <v>211</v>
      </c>
      <c r="AX728" s="23" t="s">
        <v>208</v>
      </c>
      <c r="AY728" s="24">
        <v>2</v>
      </c>
      <c r="AZ728" s="24"/>
    </row>
    <row r="729" spans="1:52" ht="15" customHeight="1" x14ac:dyDescent="0.3">
      <c r="A729" s="114">
        <v>718</v>
      </c>
      <c r="B729" s="174" t="s">
        <v>1561</v>
      </c>
      <c r="C729" s="11" t="s">
        <v>1619</v>
      </c>
      <c r="D729" s="11" t="s">
        <v>288</v>
      </c>
      <c r="E729" s="29" t="s">
        <v>205</v>
      </c>
      <c r="F729" s="11" t="s">
        <v>1620</v>
      </c>
      <c r="G729" s="25" t="s">
        <v>145</v>
      </c>
      <c r="H729" s="23" t="s">
        <v>146</v>
      </c>
      <c r="I729" s="24">
        <v>2</v>
      </c>
      <c r="J729" s="23" t="s">
        <v>205</v>
      </c>
      <c r="K729" s="23">
        <v>100</v>
      </c>
      <c r="L729" s="23" t="s">
        <v>1621</v>
      </c>
      <c r="M729" s="23" t="s">
        <v>211</v>
      </c>
      <c r="N729" s="122" t="s">
        <v>218</v>
      </c>
      <c r="O729" s="23"/>
      <c r="P729" s="132" t="s">
        <v>218</v>
      </c>
      <c r="Q729" s="23"/>
      <c r="R729" s="23" t="s">
        <v>1622</v>
      </c>
      <c r="S729" s="23"/>
      <c r="T729" s="23"/>
      <c r="U729" s="354">
        <v>1814.92</v>
      </c>
      <c r="V729" s="24">
        <v>2059.3000000000002</v>
      </c>
      <c r="W729" s="24">
        <f>165.1+238.4</f>
        <v>403.5</v>
      </c>
      <c r="X729" s="133" t="s">
        <v>207</v>
      </c>
      <c r="Y729" s="12">
        <f>149.91+205.99</f>
        <v>355.9</v>
      </c>
      <c r="Z729" s="133" t="s">
        <v>207</v>
      </c>
      <c r="AA729" s="12">
        <f>140.46+182.09</f>
        <v>322.55</v>
      </c>
      <c r="AB729" s="133" t="s">
        <v>207</v>
      </c>
      <c r="AC729" s="12">
        <v>178.13</v>
      </c>
      <c r="AD729" s="131" t="s">
        <v>207</v>
      </c>
      <c r="AE729" s="12">
        <v>108.87</v>
      </c>
      <c r="AF729" s="131" t="s">
        <v>207</v>
      </c>
      <c r="AG729" s="325">
        <v>0</v>
      </c>
      <c r="AH729" s="328"/>
      <c r="AI729" s="325">
        <v>0</v>
      </c>
      <c r="AJ729" s="328"/>
      <c r="AK729" s="325">
        <v>0</v>
      </c>
      <c r="AL729" s="328"/>
      <c r="AM729" s="325">
        <v>0</v>
      </c>
      <c r="AN729" s="328"/>
      <c r="AO729" s="12">
        <v>153.71</v>
      </c>
      <c r="AP729" s="131" t="s">
        <v>207</v>
      </c>
      <c r="AQ729" s="12">
        <v>235.23</v>
      </c>
      <c r="AR729" s="131" t="s">
        <v>207</v>
      </c>
      <c r="AS729" s="12">
        <v>184.51</v>
      </c>
      <c r="AT729" s="131" t="s">
        <v>207</v>
      </c>
      <c r="AU729" s="11">
        <f t="shared" si="33"/>
        <v>1942.3999999999999</v>
      </c>
      <c r="AV729" s="329" t="s">
        <v>1686</v>
      </c>
      <c r="AW729" s="23" t="s">
        <v>211</v>
      </c>
      <c r="AX729" s="23" t="s">
        <v>208</v>
      </c>
      <c r="AY729" s="24">
        <v>2</v>
      </c>
      <c r="AZ729" s="24"/>
    </row>
    <row r="730" spans="1:52" ht="15" customHeight="1" x14ac:dyDescent="0.3">
      <c r="A730" s="114">
        <v>719</v>
      </c>
      <c r="B730" s="174" t="s">
        <v>1562</v>
      </c>
      <c r="C730" s="11" t="s">
        <v>1619</v>
      </c>
      <c r="D730" s="11" t="s">
        <v>288</v>
      </c>
      <c r="E730" s="29" t="s">
        <v>205</v>
      </c>
      <c r="F730" s="11" t="s">
        <v>1620</v>
      </c>
      <c r="G730" s="25" t="s">
        <v>145</v>
      </c>
      <c r="H730" s="23" t="s">
        <v>146</v>
      </c>
      <c r="I730" s="24">
        <v>1</v>
      </c>
      <c r="J730" s="23" t="s">
        <v>205</v>
      </c>
      <c r="K730" s="23">
        <v>100</v>
      </c>
      <c r="L730" s="23" t="s">
        <v>1621</v>
      </c>
      <c r="M730" s="23" t="s">
        <v>211</v>
      </c>
      <c r="N730" s="122" t="s">
        <v>218</v>
      </c>
      <c r="O730" s="23"/>
      <c r="P730" s="132" t="s">
        <v>218</v>
      </c>
      <c r="Q730" s="23"/>
      <c r="R730" s="23" t="s">
        <v>1622</v>
      </c>
      <c r="S730" s="23"/>
      <c r="T730" s="23"/>
      <c r="U730" s="354">
        <v>1225.42</v>
      </c>
      <c r="V730" s="24">
        <v>1441.84</v>
      </c>
      <c r="W730" s="24">
        <v>270.22000000000003</v>
      </c>
      <c r="X730" s="133" t="s">
        <v>207</v>
      </c>
      <c r="Y730" s="24">
        <v>188.01</v>
      </c>
      <c r="Z730" s="133" t="s">
        <v>207</v>
      </c>
      <c r="AA730" s="12">
        <v>226.93</v>
      </c>
      <c r="AB730" s="133" t="s">
        <v>207</v>
      </c>
      <c r="AC730" s="12">
        <v>178.14</v>
      </c>
      <c r="AD730" s="131" t="s">
        <v>207</v>
      </c>
      <c r="AE730" s="12">
        <v>57.1</v>
      </c>
      <c r="AF730" s="131" t="s">
        <v>207</v>
      </c>
      <c r="AG730" s="325">
        <v>0</v>
      </c>
      <c r="AH730" s="328"/>
      <c r="AI730" s="325">
        <v>0</v>
      </c>
      <c r="AJ730" s="328"/>
      <c r="AK730" s="325">
        <v>0</v>
      </c>
      <c r="AL730" s="328"/>
      <c r="AM730" s="325">
        <v>0</v>
      </c>
      <c r="AN730" s="328"/>
      <c r="AO730" s="12">
        <v>104.21</v>
      </c>
      <c r="AP730" s="131" t="s">
        <v>207</v>
      </c>
      <c r="AQ730" s="12">
        <v>141.29</v>
      </c>
      <c r="AR730" s="131" t="s">
        <v>207</v>
      </c>
      <c r="AS730" s="12">
        <v>161.16</v>
      </c>
      <c r="AT730" s="131" t="s">
        <v>207</v>
      </c>
      <c r="AU730" s="11">
        <f t="shared" si="33"/>
        <v>1327.0600000000002</v>
      </c>
      <c r="AV730" s="329" t="s">
        <v>1687</v>
      </c>
      <c r="AW730" s="23" t="s">
        <v>211</v>
      </c>
      <c r="AX730" s="23" t="s">
        <v>208</v>
      </c>
      <c r="AY730" s="24">
        <v>1</v>
      </c>
      <c r="AZ730" s="24"/>
    </row>
    <row r="731" spans="1:52" ht="15" customHeight="1" x14ac:dyDescent="0.3">
      <c r="A731" s="114">
        <v>720</v>
      </c>
      <c r="B731" s="174" t="s">
        <v>1563</v>
      </c>
      <c r="C731" s="11" t="s">
        <v>1619</v>
      </c>
      <c r="D731" s="11" t="s">
        <v>288</v>
      </c>
      <c r="E731" s="29" t="s">
        <v>289</v>
      </c>
      <c r="F731" s="11" t="s">
        <v>1620</v>
      </c>
      <c r="G731" s="25" t="s">
        <v>145</v>
      </c>
      <c r="H731" s="23" t="s">
        <v>146</v>
      </c>
      <c r="I731" s="24">
        <v>1</v>
      </c>
      <c r="J731" s="23" t="s">
        <v>289</v>
      </c>
      <c r="K731" s="23">
        <v>100</v>
      </c>
      <c r="L731" s="23" t="s">
        <v>1621</v>
      </c>
      <c r="M731" s="23" t="s">
        <v>223</v>
      </c>
      <c r="N731" s="122" t="s">
        <v>218</v>
      </c>
      <c r="O731" s="23"/>
      <c r="P731" s="132" t="s">
        <v>218</v>
      </c>
      <c r="Q731" s="23"/>
      <c r="R731" s="23" t="s">
        <v>1639</v>
      </c>
      <c r="S731" s="23"/>
      <c r="T731" s="23"/>
      <c r="U731" s="354">
        <v>943.88</v>
      </c>
      <c r="V731" s="24">
        <v>1072.42</v>
      </c>
      <c r="W731" s="24">
        <v>151.1</v>
      </c>
      <c r="X731" s="133" t="s">
        <v>449</v>
      </c>
      <c r="Y731" s="24">
        <v>151.1</v>
      </c>
      <c r="Z731" s="330" t="s">
        <v>449</v>
      </c>
      <c r="AA731" s="24">
        <v>151.1</v>
      </c>
      <c r="AB731" s="330" t="s">
        <v>449</v>
      </c>
      <c r="AC731" s="24">
        <v>151.1</v>
      </c>
      <c r="AD731" s="327" t="s">
        <v>449</v>
      </c>
      <c r="AE731" s="24">
        <v>151.1</v>
      </c>
      <c r="AF731" s="327" t="s">
        <v>449</v>
      </c>
      <c r="AG731" s="325">
        <v>0</v>
      </c>
      <c r="AH731" s="328"/>
      <c r="AI731" s="325">
        <v>0</v>
      </c>
      <c r="AJ731" s="328"/>
      <c r="AK731" s="325">
        <v>0</v>
      </c>
      <c r="AL731" s="328"/>
      <c r="AM731" s="325">
        <v>0</v>
      </c>
      <c r="AN731" s="328"/>
      <c r="AO731" s="12">
        <v>61.56</v>
      </c>
      <c r="AP731" s="131" t="s">
        <v>207</v>
      </c>
      <c r="AQ731" s="12">
        <v>115.44</v>
      </c>
      <c r="AR731" s="131" t="s">
        <v>207</v>
      </c>
      <c r="AS731" s="12">
        <v>143.13999999999999</v>
      </c>
      <c r="AT731" s="131" t="s">
        <v>207</v>
      </c>
      <c r="AU731" s="29">
        <f t="shared" si="33"/>
        <v>1075.6399999999999</v>
      </c>
      <c r="AV731" s="329" t="s">
        <v>1628</v>
      </c>
      <c r="AW731" s="23" t="s">
        <v>223</v>
      </c>
      <c r="AX731" s="23" t="s">
        <v>208</v>
      </c>
      <c r="AY731" s="24"/>
      <c r="AZ731" s="24"/>
    </row>
    <row r="732" spans="1:52" ht="15" customHeight="1" x14ac:dyDescent="0.3">
      <c r="A732" s="114">
        <v>721</v>
      </c>
      <c r="B732" s="174" t="s">
        <v>1564</v>
      </c>
      <c r="C732" s="11" t="s">
        <v>1619</v>
      </c>
      <c r="D732" s="11" t="s">
        <v>288</v>
      </c>
      <c r="E732" s="29" t="s">
        <v>289</v>
      </c>
      <c r="F732" s="11" t="s">
        <v>1620</v>
      </c>
      <c r="G732" s="25" t="s">
        <v>145</v>
      </c>
      <c r="H732" s="23" t="s">
        <v>146</v>
      </c>
      <c r="I732" s="24">
        <v>1</v>
      </c>
      <c r="J732" s="23" t="s">
        <v>289</v>
      </c>
      <c r="K732" s="23">
        <v>100</v>
      </c>
      <c r="L732" s="23" t="s">
        <v>1621</v>
      </c>
      <c r="M732" s="23" t="s">
        <v>223</v>
      </c>
      <c r="N732" s="122" t="s">
        <v>218</v>
      </c>
      <c r="O732" s="23"/>
      <c r="P732" s="132" t="s">
        <v>218</v>
      </c>
      <c r="Q732" s="23"/>
      <c r="R732" s="23" t="s">
        <v>1639</v>
      </c>
      <c r="S732" s="23"/>
      <c r="T732" s="23"/>
      <c r="U732" s="354">
        <v>911.11</v>
      </c>
      <c r="V732" s="24">
        <v>988.14</v>
      </c>
      <c r="W732" s="24">
        <v>164.69</v>
      </c>
      <c r="X732" s="133" t="s">
        <v>207</v>
      </c>
      <c r="Y732" s="12">
        <v>142.94</v>
      </c>
      <c r="Z732" s="133" t="s">
        <v>207</v>
      </c>
      <c r="AA732" s="12">
        <v>137.38999999999999</v>
      </c>
      <c r="AB732" s="133" t="s">
        <v>207</v>
      </c>
      <c r="AC732" s="12">
        <v>109.96</v>
      </c>
      <c r="AD732" s="131" t="s">
        <v>207</v>
      </c>
      <c r="AE732" s="12">
        <v>32.53</v>
      </c>
      <c r="AF732" s="131" t="s">
        <v>207</v>
      </c>
      <c r="AG732" s="325">
        <v>0</v>
      </c>
      <c r="AH732" s="328"/>
      <c r="AI732" s="325">
        <v>0</v>
      </c>
      <c r="AJ732" s="328"/>
      <c r="AK732" s="325">
        <v>0</v>
      </c>
      <c r="AL732" s="328"/>
      <c r="AM732" s="325">
        <v>0</v>
      </c>
      <c r="AN732" s="328"/>
      <c r="AO732" s="12">
        <v>58.06</v>
      </c>
      <c r="AP732" s="131" t="s">
        <v>207</v>
      </c>
      <c r="AQ732" s="12">
        <v>84.19</v>
      </c>
      <c r="AR732" s="131" t="s">
        <v>207</v>
      </c>
      <c r="AS732" s="12">
        <v>109.36</v>
      </c>
      <c r="AT732" s="131" t="s">
        <v>207</v>
      </c>
      <c r="AU732" s="11">
        <f t="shared" si="33"/>
        <v>839.12</v>
      </c>
      <c r="AV732" s="329" t="s">
        <v>1624</v>
      </c>
      <c r="AW732" s="23" t="s">
        <v>223</v>
      </c>
      <c r="AX732" s="23" t="s">
        <v>208</v>
      </c>
      <c r="AY732" s="24"/>
      <c r="AZ732" s="24"/>
    </row>
    <row r="733" spans="1:52" ht="15" customHeight="1" x14ac:dyDescent="0.3">
      <c r="A733" s="114">
        <v>722</v>
      </c>
      <c r="B733" s="174" t="s">
        <v>1565</v>
      </c>
      <c r="C733" s="11" t="s">
        <v>1619</v>
      </c>
      <c r="D733" s="11" t="s">
        <v>288</v>
      </c>
      <c r="E733" s="29" t="s">
        <v>205</v>
      </c>
      <c r="F733" s="11" t="s">
        <v>1620</v>
      </c>
      <c r="G733" s="25" t="s">
        <v>145</v>
      </c>
      <c r="H733" s="23" t="s">
        <v>146</v>
      </c>
      <c r="I733" s="24">
        <v>2</v>
      </c>
      <c r="J733" s="23" t="s">
        <v>205</v>
      </c>
      <c r="K733" s="23">
        <v>100</v>
      </c>
      <c r="L733" s="23" t="s">
        <v>1621</v>
      </c>
      <c r="M733" s="23" t="s">
        <v>211</v>
      </c>
      <c r="N733" s="122" t="s">
        <v>218</v>
      </c>
      <c r="O733" s="23"/>
      <c r="P733" s="132" t="s">
        <v>218</v>
      </c>
      <c r="Q733" s="23"/>
      <c r="R733" s="23" t="s">
        <v>1622</v>
      </c>
      <c r="S733" s="23"/>
      <c r="T733" s="23"/>
      <c r="U733" s="354">
        <v>1847.53</v>
      </c>
      <c r="V733" s="24">
        <v>2091.3200000000002</v>
      </c>
      <c r="W733" s="24">
        <f>165.45+234.72</f>
        <v>400.16999999999996</v>
      </c>
      <c r="X733" s="133" t="s">
        <v>207</v>
      </c>
      <c r="Y733" s="12">
        <f>145.26+209.29</f>
        <v>354.54999999999995</v>
      </c>
      <c r="Z733" s="133" t="s">
        <v>207</v>
      </c>
      <c r="AA733" s="12">
        <f>126.76+182.68</f>
        <v>309.44</v>
      </c>
      <c r="AB733" s="133" t="s">
        <v>207</v>
      </c>
      <c r="AC733" s="12">
        <v>154.9</v>
      </c>
      <c r="AD733" s="131" t="s">
        <v>207</v>
      </c>
      <c r="AE733" s="12">
        <v>96.138000000000005</v>
      </c>
      <c r="AF733" s="131" t="s">
        <v>207</v>
      </c>
      <c r="AG733" s="325">
        <v>0</v>
      </c>
      <c r="AH733" s="328"/>
      <c r="AI733" s="325">
        <v>0</v>
      </c>
      <c r="AJ733" s="328"/>
      <c r="AK733" s="325">
        <v>0</v>
      </c>
      <c r="AL733" s="328"/>
      <c r="AM733" s="325">
        <v>0</v>
      </c>
      <c r="AN733" s="328"/>
      <c r="AO733" s="12">
        <v>156.93</v>
      </c>
      <c r="AP733" s="131" t="s">
        <v>207</v>
      </c>
      <c r="AQ733" s="12">
        <v>223.17</v>
      </c>
      <c r="AR733" s="131" t="s">
        <v>207</v>
      </c>
      <c r="AS733" s="12">
        <v>275.19</v>
      </c>
      <c r="AT733" s="131" t="s">
        <v>207</v>
      </c>
      <c r="AU733" s="11">
        <f t="shared" si="33"/>
        <v>1970.4880000000001</v>
      </c>
      <c r="AV733" s="329" t="s">
        <v>1688</v>
      </c>
      <c r="AW733" s="23" t="s">
        <v>211</v>
      </c>
      <c r="AX733" s="23" t="s">
        <v>208</v>
      </c>
      <c r="AY733" s="24">
        <v>2</v>
      </c>
      <c r="AZ733" s="24"/>
    </row>
    <row r="734" spans="1:52" ht="15" customHeight="1" x14ac:dyDescent="0.3">
      <c r="A734" s="114">
        <v>723</v>
      </c>
      <c r="B734" s="174" t="s">
        <v>1566</v>
      </c>
      <c r="C734" s="11" t="s">
        <v>1619</v>
      </c>
      <c r="D734" s="11" t="s">
        <v>288</v>
      </c>
      <c r="E734" s="29" t="s">
        <v>205</v>
      </c>
      <c r="F734" s="11" t="s">
        <v>1620</v>
      </c>
      <c r="G734" s="25" t="s">
        <v>145</v>
      </c>
      <c r="H734" s="23" t="s">
        <v>146</v>
      </c>
      <c r="I734" s="24">
        <v>2</v>
      </c>
      <c r="J734" s="23" t="s">
        <v>205</v>
      </c>
      <c r="K734" s="23">
        <v>100</v>
      </c>
      <c r="L734" s="23" t="s">
        <v>1621</v>
      </c>
      <c r="M734" s="23" t="s">
        <v>211</v>
      </c>
      <c r="N734" s="122" t="s">
        <v>218</v>
      </c>
      <c r="O734" s="23"/>
      <c r="P734" s="132" t="s">
        <v>218</v>
      </c>
      <c r="Q734" s="23"/>
      <c r="R734" s="23" t="s">
        <v>1622</v>
      </c>
      <c r="S734" s="23"/>
      <c r="T734" s="23"/>
      <c r="U734" s="354">
        <v>1831.84</v>
      </c>
      <c r="V734" s="24">
        <v>2237.6</v>
      </c>
      <c r="W734" s="24">
        <f>194.59+258.73</f>
        <v>453.32000000000005</v>
      </c>
      <c r="X734" s="133" t="s">
        <v>207</v>
      </c>
      <c r="Y734" s="12">
        <f>153.47+199.84</f>
        <v>353.31</v>
      </c>
      <c r="Z734" s="133" t="s">
        <v>207</v>
      </c>
      <c r="AA734" s="12">
        <f>145.31+183.9</f>
        <v>329.21000000000004</v>
      </c>
      <c r="AB734" s="133" t="s">
        <v>207</v>
      </c>
      <c r="AC734" s="12">
        <f>106.59+160.6</f>
        <v>267.19</v>
      </c>
      <c r="AD734" s="131" t="s">
        <v>207</v>
      </c>
      <c r="AE734" s="12">
        <v>98.9</v>
      </c>
      <c r="AF734" s="131" t="s">
        <v>207</v>
      </c>
      <c r="AG734" s="325">
        <v>0</v>
      </c>
      <c r="AH734" s="328"/>
      <c r="AI734" s="325">
        <v>0</v>
      </c>
      <c r="AJ734" s="328"/>
      <c r="AK734" s="325">
        <v>0</v>
      </c>
      <c r="AL734" s="328"/>
      <c r="AM734" s="325">
        <v>0</v>
      </c>
      <c r="AN734" s="328"/>
      <c r="AO734" s="12">
        <v>215.22</v>
      </c>
      <c r="AP734" s="131" t="s">
        <v>207</v>
      </c>
      <c r="AQ734" s="12">
        <v>248.35</v>
      </c>
      <c r="AR734" s="131" t="s">
        <v>207</v>
      </c>
      <c r="AS734" s="12">
        <v>284.33600000000001</v>
      </c>
      <c r="AT734" s="131" t="s">
        <v>207</v>
      </c>
      <c r="AU734" s="11">
        <f t="shared" si="33"/>
        <v>2249.8360000000002</v>
      </c>
      <c r="AV734" s="329" t="s">
        <v>1689</v>
      </c>
      <c r="AW734" s="23" t="s">
        <v>211</v>
      </c>
      <c r="AX734" s="23" t="s">
        <v>208</v>
      </c>
      <c r="AY734" s="24">
        <v>2</v>
      </c>
      <c r="AZ734" s="24"/>
    </row>
    <row r="735" spans="1:52" ht="15" customHeight="1" x14ac:dyDescent="0.3">
      <c r="A735" s="114">
        <v>724</v>
      </c>
      <c r="B735" s="174" t="s">
        <v>1567</v>
      </c>
      <c r="C735" s="11" t="s">
        <v>1619</v>
      </c>
      <c r="D735" s="11" t="s">
        <v>288</v>
      </c>
      <c r="E735" s="29" t="s">
        <v>289</v>
      </c>
      <c r="F735" s="11" t="s">
        <v>1620</v>
      </c>
      <c r="G735" s="25" t="s">
        <v>145</v>
      </c>
      <c r="H735" s="23" t="s">
        <v>146</v>
      </c>
      <c r="I735" s="24">
        <v>2</v>
      </c>
      <c r="J735" s="23" t="s">
        <v>289</v>
      </c>
      <c r="K735" s="23">
        <v>100</v>
      </c>
      <c r="L735" s="23" t="s">
        <v>1621</v>
      </c>
      <c r="M735" s="23" t="s">
        <v>223</v>
      </c>
      <c r="N735" s="122" t="s">
        <v>218</v>
      </c>
      <c r="O735" s="23"/>
      <c r="P735" s="132" t="s">
        <v>218</v>
      </c>
      <c r="Q735" s="23"/>
      <c r="R735" s="23" t="s">
        <v>1639</v>
      </c>
      <c r="S735" s="23"/>
      <c r="T735" s="23"/>
      <c r="U735" s="354">
        <v>2911.7</v>
      </c>
      <c r="V735" s="24">
        <v>3229.45</v>
      </c>
      <c r="W735" s="24">
        <v>321.98</v>
      </c>
      <c r="X735" s="133" t="s">
        <v>207</v>
      </c>
      <c r="Y735" s="12">
        <f>255.08+279.78</f>
        <v>534.86</v>
      </c>
      <c r="Z735" s="133" t="s">
        <v>207</v>
      </c>
      <c r="AA735" s="12">
        <f>235.5+262.176</f>
        <v>497.67599999999999</v>
      </c>
      <c r="AB735" s="133" t="s">
        <v>207</v>
      </c>
      <c r="AC735" s="12">
        <f>204.74+237.09</f>
        <v>441.83000000000004</v>
      </c>
      <c r="AD735" s="131" t="s">
        <v>207</v>
      </c>
      <c r="AE735" s="12">
        <v>133.25200000000001</v>
      </c>
      <c r="AF735" s="131" t="s">
        <v>207</v>
      </c>
      <c r="AG735" s="325">
        <v>0</v>
      </c>
      <c r="AH735" s="328"/>
      <c r="AI735" s="325">
        <v>0</v>
      </c>
      <c r="AJ735" s="328"/>
      <c r="AK735" s="325">
        <v>0</v>
      </c>
      <c r="AL735" s="328"/>
      <c r="AM735" s="325">
        <v>0</v>
      </c>
      <c r="AN735" s="328"/>
      <c r="AO735" s="12">
        <v>219.98</v>
      </c>
      <c r="AP735" s="131" t="s">
        <v>207</v>
      </c>
      <c r="AQ735" s="12">
        <v>318.93</v>
      </c>
      <c r="AR735" s="131" t="s">
        <v>207</v>
      </c>
      <c r="AS735" s="12">
        <v>419.79</v>
      </c>
      <c r="AT735" s="131" t="s">
        <v>207</v>
      </c>
      <c r="AU735" s="11">
        <f t="shared" si="33"/>
        <v>2888.2979999999998</v>
      </c>
      <c r="AV735" s="329" t="s">
        <v>1690</v>
      </c>
      <c r="AW735" s="23" t="s">
        <v>223</v>
      </c>
      <c r="AX735" s="23" t="s">
        <v>208</v>
      </c>
      <c r="AY735" s="24"/>
      <c r="AZ735" s="24"/>
    </row>
    <row r="736" spans="1:52" ht="15" customHeight="1" x14ac:dyDescent="0.3">
      <c r="A736" s="114">
        <v>725</v>
      </c>
      <c r="B736" s="174" t="s">
        <v>1568</v>
      </c>
      <c r="C736" s="11" t="s">
        <v>1619</v>
      </c>
      <c r="D736" s="11" t="s">
        <v>288</v>
      </c>
      <c r="E736" s="29" t="s">
        <v>289</v>
      </c>
      <c r="F736" s="11" t="s">
        <v>1620</v>
      </c>
      <c r="G736" s="25" t="s">
        <v>145</v>
      </c>
      <c r="H736" s="23" t="s">
        <v>146</v>
      </c>
      <c r="I736" s="24">
        <v>3</v>
      </c>
      <c r="J736" s="23" t="s">
        <v>289</v>
      </c>
      <c r="K736" s="23">
        <v>100</v>
      </c>
      <c r="L736" s="23" t="s">
        <v>1621</v>
      </c>
      <c r="M736" s="23" t="s">
        <v>223</v>
      </c>
      <c r="N736" s="122" t="s">
        <v>218</v>
      </c>
      <c r="O736" s="23"/>
      <c r="P736" s="132" t="s">
        <v>218</v>
      </c>
      <c r="Q736" s="23"/>
      <c r="R736" s="23" t="s">
        <v>1639</v>
      </c>
      <c r="S736" s="23"/>
      <c r="T736" s="23"/>
      <c r="U736" s="354">
        <v>2900</v>
      </c>
      <c r="V736" s="24">
        <v>3139.06</v>
      </c>
      <c r="W736" s="24">
        <f>292.6+296.5+2.57</f>
        <v>591.67000000000007</v>
      </c>
      <c r="X736" s="133" t="s">
        <v>207</v>
      </c>
      <c r="Y736" s="12">
        <f>249.95+254.37+0.38</f>
        <v>504.7</v>
      </c>
      <c r="Z736" s="133" t="s">
        <v>207</v>
      </c>
      <c r="AA736" s="12">
        <f>239.14+241.4+5.02</f>
        <v>485.55999999999995</v>
      </c>
      <c r="AB736" s="133" t="s">
        <v>207</v>
      </c>
      <c r="AC736" s="12">
        <v>420.82</v>
      </c>
      <c r="AD736" s="131" t="s">
        <v>207</v>
      </c>
      <c r="AE736" s="12">
        <v>128.93</v>
      </c>
      <c r="AF736" s="131" t="s">
        <v>207</v>
      </c>
      <c r="AG736" s="325">
        <v>0</v>
      </c>
      <c r="AH736" s="328"/>
      <c r="AI736" s="325">
        <v>0</v>
      </c>
      <c r="AJ736" s="328"/>
      <c r="AK736" s="325">
        <v>0</v>
      </c>
      <c r="AL736" s="328"/>
      <c r="AM736" s="325">
        <v>0</v>
      </c>
      <c r="AN736" s="328"/>
      <c r="AO736" s="12">
        <v>203.75</v>
      </c>
      <c r="AP736" s="131" t="s">
        <v>207</v>
      </c>
      <c r="AQ736" s="12">
        <v>309.99</v>
      </c>
      <c r="AR736" s="131" t="s">
        <v>207</v>
      </c>
      <c r="AS736" s="12">
        <v>401.1</v>
      </c>
      <c r="AT736" s="131" t="s">
        <v>207</v>
      </c>
      <c r="AU736" s="11">
        <f t="shared" si="33"/>
        <v>3046.52</v>
      </c>
      <c r="AV736" s="329" t="s">
        <v>1691</v>
      </c>
      <c r="AW736" s="23" t="s">
        <v>223</v>
      </c>
      <c r="AX736" s="23" t="s">
        <v>208</v>
      </c>
      <c r="AY736" s="24"/>
      <c r="AZ736" s="24"/>
    </row>
    <row r="737" spans="1:52" ht="15" customHeight="1" x14ac:dyDescent="0.3">
      <c r="A737" s="114">
        <v>726</v>
      </c>
      <c r="B737" s="174" t="s">
        <v>1569</v>
      </c>
      <c r="C737" s="11" t="s">
        <v>1619</v>
      </c>
      <c r="D737" s="11" t="s">
        <v>288</v>
      </c>
      <c r="E737" s="29" t="s">
        <v>205</v>
      </c>
      <c r="F737" s="11" t="s">
        <v>1620</v>
      </c>
      <c r="G737" s="25" t="s">
        <v>145</v>
      </c>
      <c r="H737" s="23" t="s">
        <v>146</v>
      </c>
      <c r="I737" s="24">
        <v>1</v>
      </c>
      <c r="J737" s="23" t="s">
        <v>205</v>
      </c>
      <c r="K737" s="23">
        <v>100</v>
      </c>
      <c r="L737" s="23" t="s">
        <v>1621</v>
      </c>
      <c r="M737" s="23" t="s">
        <v>211</v>
      </c>
      <c r="N737" s="122" t="s">
        <v>218</v>
      </c>
      <c r="O737" s="23"/>
      <c r="P737" s="132" t="s">
        <v>218</v>
      </c>
      <c r="Q737" s="23"/>
      <c r="R737" s="23" t="s">
        <v>1622</v>
      </c>
      <c r="S737" s="23"/>
      <c r="T737" s="23"/>
      <c r="U737" s="354">
        <v>1912.65</v>
      </c>
      <c r="V737" s="24">
        <v>2051.08</v>
      </c>
      <c r="W737" s="24">
        <v>382.4</v>
      </c>
      <c r="X737" s="133" t="s">
        <v>207</v>
      </c>
      <c r="Y737" s="12">
        <v>332.06</v>
      </c>
      <c r="Z737" s="133" t="s">
        <v>207</v>
      </c>
      <c r="AA737" s="12">
        <v>317.02999999999997</v>
      </c>
      <c r="AB737" s="133" t="s">
        <v>207</v>
      </c>
      <c r="AC737" s="12">
        <v>271.44</v>
      </c>
      <c r="AD737" s="131" t="s">
        <v>207</v>
      </c>
      <c r="AE737" s="12">
        <v>107.34</v>
      </c>
      <c r="AF737" s="131" t="s">
        <v>207</v>
      </c>
      <c r="AG737" s="325">
        <v>0</v>
      </c>
      <c r="AH737" s="328"/>
      <c r="AI737" s="325">
        <v>0</v>
      </c>
      <c r="AJ737" s="328"/>
      <c r="AK737" s="325">
        <v>0</v>
      </c>
      <c r="AL737" s="328"/>
      <c r="AM737" s="325">
        <v>0</v>
      </c>
      <c r="AN737" s="328"/>
      <c r="AO737" s="12">
        <v>145.66999999999999</v>
      </c>
      <c r="AP737" s="131" t="s">
        <v>207</v>
      </c>
      <c r="AQ737" s="12">
        <v>200.56</v>
      </c>
      <c r="AR737" s="131" t="s">
        <v>207</v>
      </c>
      <c r="AS737" s="12">
        <v>249.25</v>
      </c>
      <c r="AT737" s="131" t="s">
        <v>207</v>
      </c>
      <c r="AU737" s="11">
        <f t="shared" si="33"/>
        <v>2005.75</v>
      </c>
      <c r="AV737" s="329" t="s">
        <v>1692</v>
      </c>
      <c r="AW737" s="23" t="s">
        <v>211</v>
      </c>
      <c r="AX737" s="23" t="s">
        <v>208</v>
      </c>
      <c r="AY737" s="24">
        <v>1</v>
      </c>
      <c r="AZ737" s="24"/>
    </row>
    <row r="738" spans="1:52" ht="15" customHeight="1" x14ac:dyDescent="0.3">
      <c r="A738" s="114">
        <v>727</v>
      </c>
      <c r="B738" s="174" t="s">
        <v>1570</v>
      </c>
      <c r="C738" s="11" t="s">
        <v>1619</v>
      </c>
      <c r="D738" s="11" t="s">
        <v>288</v>
      </c>
      <c r="E738" s="29" t="s">
        <v>205</v>
      </c>
      <c r="F738" s="11" t="s">
        <v>1620</v>
      </c>
      <c r="G738" s="25" t="s">
        <v>145</v>
      </c>
      <c r="H738" s="23" t="s">
        <v>146</v>
      </c>
      <c r="I738" s="24">
        <v>2</v>
      </c>
      <c r="J738" s="23" t="s">
        <v>205</v>
      </c>
      <c r="K738" s="23">
        <v>100</v>
      </c>
      <c r="L738" s="23" t="s">
        <v>1621</v>
      </c>
      <c r="M738" s="23" t="s">
        <v>211</v>
      </c>
      <c r="N738" s="122" t="s">
        <v>218</v>
      </c>
      <c r="O738" s="23"/>
      <c r="P738" s="132" t="s">
        <v>218</v>
      </c>
      <c r="Q738" s="23"/>
      <c r="R738" s="23" t="s">
        <v>1622</v>
      </c>
      <c r="S738" s="23"/>
      <c r="T738" s="23"/>
      <c r="U738" s="354">
        <v>2042.61</v>
      </c>
      <c r="V738" s="24">
        <v>2191.5</v>
      </c>
      <c r="W738" s="24">
        <f>163.44+242.86</f>
        <v>406.3</v>
      </c>
      <c r="X738" s="133" t="s">
        <v>207</v>
      </c>
      <c r="Y738" s="12">
        <f>142.5+211.38</f>
        <v>353.88</v>
      </c>
      <c r="Z738" s="133" t="s">
        <v>207</v>
      </c>
      <c r="AA738" s="12">
        <f>134.63+210.7</f>
        <v>345.33</v>
      </c>
      <c r="AB738" s="133" t="s">
        <v>207</v>
      </c>
      <c r="AC738" s="12">
        <f>118.53+168.6</f>
        <v>287.13</v>
      </c>
      <c r="AD738" s="131" t="s">
        <v>207</v>
      </c>
      <c r="AE738" s="12">
        <v>110.74</v>
      </c>
      <c r="AF738" s="131" t="s">
        <v>207</v>
      </c>
      <c r="AG738" s="325">
        <v>0</v>
      </c>
      <c r="AH738" s="328"/>
      <c r="AI738" s="325">
        <v>0</v>
      </c>
      <c r="AJ738" s="328"/>
      <c r="AK738" s="325">
        <v>0</v>
      </c>
      <c r="AL738" s="328"/>
      <c r="AM738" s="325">
        <v>0</v>
      </c>
      <c r="AN738" s="328"/>
      <c r="AO738" s="12">
        <v>195.25</v>
      </c>
      <c r="AP738" s="131" t="s">
        <v>207</v>
      </c>
      <c r="AQ738" s="12">
        <v>248.11</v>
      </c>
      <c r="AR738" s="131" t="s">
        <v>207</v>
      </c>
      <c r="AS738" s="12">
        <v>301.8</v>
      </c>
      <c r="AT738" s="131" t="s">
        <v>207</v>
      </c>
      <c r="AU738" s="11">
        <f t="shared" si="33"/>
        <v>2248.54</v>
      </c>
      <c r="AV738" s="329" t="s">
        <v>1693</v>
      </c>
      <c r="AW738" s="23" t="s">
        <v>211</v>
      </c>
      <c r="AX738" s="23" t="s">
        <v>208</v>
      </c>
      <c r="AY738" s="24">
        <v>2</v>
      </c>
      <c r="AZ738" s="24"/>
    </row>
    <row r="739" spans="1:52" ht="15" customHeight="1" x14ac:dyDescent="0.3">
      <c r="A739" s="114">
        <v>728</v>
      </c>
      <c r="B739" s="174" t="s">
        <v>1571</v>
      </c>
      <c r="C739" s="11" t="s">
        <v>1619</v>
      </c>
      <c r="D739" s="11" t="s">
        <v>288</v>
      </c>
      <c r="E739" s="29" t="s">
        <v>205</v>
      </c>
      <c r="F739" s="11" t="s">
        <v>1620</v>
      </c>
      <c r="G739" s="25" t="s">
        <v>145</v>
      </c>
      <c r="H739" s="23" t="s">
        <v>146</v>
      </c>
      <c r="I739" s="24">
        <v>5</v>
      </c>
      <c r="J739" s="23" t="s">
        <v>205</v>
      </c>
      <c r="K739" s="23">
        <v>100</v>
      </c>
      <c r="L739" s="23" t="s">
        <v>1621</v>
      </c>
      <c r="M739" s="23" t="s">
        <v>211</v>
      </c>
      <c r="N739" s="122" t="s">
        <v>218</v>
      </c>
      <c r="O739" s="23"/>
      <c r="P739" s="132" t="s">
        <v>218</v>
      </c>
      <c r="Q739" s="23"/>
      <c r="R739" s="23" t="s">
        <v>1622</v>
      </c>
      <c r="S739" s="23"/>
      <c r="T739" s="23"/>
      <c r="U739" s="354">
        <v>6171.11</v>
      </c>
      <c r="V739" s="24">
        <v>6740</v>
      </c>
      <c r="W739" s="24">
        <f>172+208+273+354+218</f>
        <v>1225</v>
      </c>
      <c r="X739" s="133" t="s">
        <v>207</v>
      </c>
      <c r="Y739" s="12">
        <f>148.49+180.2+217.54+311.224+204.12</f>
        <v>1061.5740000000001</v>
      </c>
      <c r="Z739" s="133" t="s">
        <v>207</v>
      </c>
      <c r="AA739" s="12">
        <f>144.54+168.53+217.97+291.54+198.45</f>
        <v>1021.03</v>
      </c>
      <c r="AB739" s="133" t="s">
        <v>207</v>
      </c>
      <c r="AC739" s="12">
        <v>985.27</v>
      </c>
      <c r="AD739" s="131" t="s">
        <v>207</v>
      </c>
      <c r="AE739" s="12">
        <v>307.45</v>
      </c>
      <c r="AF739" s="131" t="s">
        <v>207</v>
      </c>
      <c r="AG739" s="325">
        <v>0</v>
      </c>
      <c r="AH739" s="328"/>
      <c r="AI739" s="325">
        <v>0</v>
      </c>
      <c r="AJ739" s="328"/>
      <c r="AK739" s="325">
        <v>0</v>
      </c>
      <c r="AL739" s="328"/>
      <c r="AM739" s="325">
        <v>0</v>
      </c>
      <c r="AN739" s="328"/>
      <c r="AO739" s="12">
        <v>502.81</v>
      </c>
      <c r="AP739" s="131" t="s">
        <v>207</v>
      </c>
      <c r="AQ739" s="12">
        <v>621.61</v>
      </c>
      <c r="AR739" s="131" t="s">
        <v>207</v>
      </c>
      <c r="AS739" s="12">
        <v>868.56</v>
      </c>
      <c r="AT739" s="131" t="s">
        <v>207</v>
      </c>
      <c r="AU739" s="11">
        <f t="shared" si="33"/>
        <v>6593.3040000000001</v>
      </c>
      <c r="AV739" s="329" t="s">
        <v>1694</v>
      </c>
      <c r="AW739" s="23" t="s">
        <v>211</v>
      </c>
      <c r="AX739" s="23" t="s">
        <v>208</v>
      </c>
      <c r="AY739" s="24">
        <v>5</v>
      </c>
      <c r="AZ739" s="24"/>
    </row>
    <row r="740" spans="1:52" ht="15" customHeight="1" x14ac:dyDescent="0.3">
      <c r="A740" s="114">
        <v>729</v>
      </c>
      <c r="B740" s="174" t="s">
        <v>1572</v>
      </c>
      <c r="C740" s="11" t="s">
        <v>1619</v>
      </c>
      <c r="D740" s="11" t="s">
        <v>288</v>
      </c>
      <c r="E740" s="29" t="s">
        <v>205</v>
      </c>
      <c r="F740" s="11" t="s">
        <v>1620</v>
      </c>
      <c r="G740" s="25" t="s">
        <v>145</v>
      </c>
      <c r="H740" s="23" t="s">
        <v>146</v>
      </c>
      <c r="I740" s="24">
        <v>1</v>
      </c>
      <c r="J740" s="23" t="s">
        <v>205</v>
      </c>
      <c r="K740" s="23">
        <v>100</v>
      </c>
      <c r="L740" s="23" t="s">
        <v>1621</v>
      </c>
      <c r="M740" s="23" t="s">
        <v>211</v>
      </c>
      <c r="N740" s="122" t="s">
        <v>218</v>
      </c>
      <c r="O740" s="23"/>
      <c r="P740" s="132" t="s">
        <v>218</v>
      </c>
      <c r="Q740" s="23"/>
      <c r="R740" s="23" t="s">
        <v>1622</v>
      </c>
      <c r="S740" s="23"/>
      <c r="T740" s="23"/>
      <c r="U740" s="354">
        <v>1827.62</v>
      </c>
      <c r="V740" s="24">
        <v>1940.1</v>
      </c>
      <c r="W740" s="24">
        <v>371.22</v>
      </c>
      <c r="X740" s="133" t="s">
        <v>207</v>
      </c>
      <c r="Y740" s="12">
        <v>320.77</v>
      </c>
      <c r="Z740" s="133" t="s">
        <v>207</v>
      </c>
      <c r="AA740" s="12">
        <v>300.69</v>
      </c>
      <c r="AB740" s="133" t="s">
        <v>207</v>
      </c>
      <c r="AC740" s="12">
        <v>234.07</v>
      </c>
      <c r="AD740" s="131" t="s">
        <v>207</v>
      </c>
      <c r="AE740" s="12">
        <v>84.21</v>
      </c>
      <c r="AF740" s="131" t="s">
        <v>207</v>
      </c>
      <c r="AG740" s="325">
        <v>0</v>
      </c>
      <c r="AH740" s="328"/>
      <c r="AI740" s="325">
        <v>0</v>
      </c>
      <c r="AJ740" s="328"/>
      <c r="AK740" s="325">
        <v>0</v>
      </c>
      <c r="AL740" s="328"/>
      <c r="AM740" s="325">
        <v>0</v>
      </c>
      <c r="AN740" s="328"/>
      <c r="AO740" s="12">
        <v>146.15</v>
      </c>
      <c r="AP740" s="131" t="s">
        <v>207</v>
      </c>
      <c r="AQ740" s="12">
        <v>200.12</v>
      </c>
      <c r="AR740" s="131" t="s">
        <v>207</v>
      </c>
      <c r="AS740" s="12">
        <v>256.92</v>
      </c>
      <c r="AT740" s="131" t="s">
        <v>207</v>
      </c>
      <c r="AU740" s="11">
        <f t="shared" si="33"/>
        <v>1914.15</v>
      </c>
      <c r="AV740" s="329" t="s">
        <v>1695</v>
      </c>
      <c r="AW740" s="23" t="s">
        <v>211</v>
      </c>
      <c r="AX740" s="23" t="s">
        <v>208</v>
      </c>
      <c r="AY740" s="24">
        <v>1</v>
      </c>
      <c r="AZ740" s="24"/>
    </row>
    <row r="741" spans="1:52" ht="15" customHeight="1" x14ac:dyDescent="0.3">
      <c r="A741" s="114">
        <v>730</v>
      </c>
      <c r="B741" s="174" t="s">
        <v>1573</v>
      </c>
      <c r="C741" s="11" t="s">
        <v>1619</v>
      </c>
      <c r="D741" s="11" t="s">
        <v>288</v>
      </c>
      <c r="E741" s="29" t="s">
        <v>289</v>
      </c>
      <c r="F741" s="11" t="s">
        <v>1620</v>
      </c>
      <c r="G741" s="25" t="s">
        <v>145</v>
      </c>
      <c r="H741" s="23" t="s">
        <v>146</v>
      </c>
      <c r="I741" s="24">
        <v>1</v>
      </c>
      <c r="J741" s="23" t="s">
        <v>289</v>
      </c>
      <c r="K741" s="23">
        <v>80</v>
      </c>
      <c r="L741" s="23" t="s">
        <v>1621</v>
      </c>
      <c r="M741" s="23" t="s">
        <v>223</v>
      </c>
      <c r="N741" s="122" t="s">
        <v>218</v>
      </c>
      <c r="O741" s="23"/>
      <c r="P741" s="132" t="s">
        <v>218</v>
      </c>
      <c r="Q741" s="23"/>
      <c r="R741" s="23" t="s">
        <v>1639</v>
      </c>
      <c r="S741" s="23"/>
      <c r="T741" s="23"/>
      <c r="U741" s="354">
        <v>1153.46</v>
      </c>
      <c r="V741" s="24">
        <v>1197.6110000000001</v>
      </c>
      <c r="W741" s="24">
        <v>153.1</v>
      </c>
      <c r="X741" s="133" t="s">
        <v>207</v>
      </c>
      <c r="Y741" s="12">
        <v>185.89</v>
      </c>
      <c r="Z741" s="133" t="s">
        <v>207</v>
      </c>
      <c r="AA741" s="12">
        <v>168.87</v>
      </c>
      <c r="AB741" s="133" t="s">
        <v>207</v>
      </c>
      <c r="AC741" s="12">
        <v>142.5</v>
      </c>
      <c r="AD741" s="131" t="s">
        <v>207</v>
      </c>
      <c r="AE741" s="12">
        <v>44.37</v>
      </c>
      <c r="AF741" s="131" t="s">
        <v>207</v>
      </c>
      <c r="AG741" s="325">
        <v>0</v>
      </c>
      <c r="AH741" s="328"/>
      <c r="AI741" s="325">
        <v>0</v>
      </c>
      <c r="AJ741" s="328"/>
      <c r="AK741" s="325">
        <v>0</v>
      </c>
      <c r="AL741" s="328"/>
      <c r="AM741" s="325">
        <v>0</v>
      </c>
      <c r="AN741" s="328"/>
      <c r="AO741" s="12">
        <v>79.2</v>
      </c>
      <c r="AP741" s="131" t="s">
        <v>207</v>
      </c>
      <c r="AQ741" s="12">
        <v>106.04</v>
      </c>
      <c r="AR741" s="131" t="s">
        <v>207</v>
      </c>
      <c r="AS741" s="12">
        <v>143.29</v>
      </c>
      <c r="AT741" s="131" t="s">
        <v>207</v>
      </c>
      <c r="AU741" s="11">
        <f t="shared" si="33"/>
        <v>1023.26</v>
      </c>
      <c r="AV741" s="329" t="s">
        <v>1696</v>
      </c>
      <c r="AW741" s="23" t="s">
        <v>223</v>
      </c>
      <c r="AX741" s="23" t="s">
        <v>208</v>
      </c>
      <c r="AY741" s="24"/>
      <c r="AZ741" s="24"/>
    </row>
    <row r="742" spans="1:52" ht="15" customHeight="1" x14ac:dyDescent="0.3">
      <c r="A742" s="114">
        <v>731</v>
      </c>
      <c r="B742" s="174" t="s">
        <v>1574</v>
      </c>
      <c r="C742" s="11" t="s">
        <v>1619</v>
      </c>
      <c r="D742" s="11" t="s">
        <v>288</v>
      </c>
      <c r="E742" s="29" t="s">
        <v>205</v>
      </c>
      <c r="F742" s="11" t="s">
        <v>1620</v>
      </c>
      <c r="G742" s="25" t="s">
        <v>145</v>
      </c>
      <c r="H742" s="23" t="s">
        <v>146</v>
      </c>
      <c r="I742" s="24">
        <v>3</v>
      </c>
      <c r="J742" s="23" t="s">
        <v>205</v>
      </c>
      <c r="K742" s="23">
        <v>100</v>
      </c>
      <c r="L742" s="23" t="s">
        <v>1621</v>
      </c>
      <c r="M742" s="23" t="s">
        <v>211</v>
      </c>
      <c r="N742" s="122" t="s">
        <v>218</v>
      </c>
      <c r="O742" s="23"/>
      <c r="P742" s="132" t="s">
        <v>218</v>
      </c>
      <c r="Q742" s="23"/>
      <c r="R742" s="23" t="s">
        <v>1622</v>
      </c>
      <c r="S742" s="23"/>
      <c r="T742" s="23"/>
      <c r="U742" s="354">
        <v>4647.1400000000003</v>
      </c>
      <c r="V742" s="24">
        <v>5014.54</v>
      </c>
      <c r="W742" s="24">
        <v>799</v>
      </c>
      <c r="X742" s="133" t="s">
        <v>449</v>
      </c>
      <c r="Y742" s="12">
        <f>159.71+147.89+128.09</f>
        <v>435.69000000000005</v>
      </c>
      <c r="Z742" s="133" t="s">
        <v>207</v>
      </c>
      <c r="AA742" s="12">
        <f>256.46+239.1+212.86</f>
        <v>708.42</v>
      </c>
      <c r="AB742" s="133" t="s">
        <v>207</v>
      </c>
      <c r="AC742" s="12">
        <f>215.74+197+168</f>
        <v>580.74</v>
      </c>
      <c r="AD742" s="131" t="s">
        <v>207</v>
      </c>
      <c r="AE742" s="12">
        <v>215.76</v>
      </c>
      <c r="AF742" s="131" t="s">
        <v>207</v>
      </c>
      <c r="AG742" s="325">
        <v>0</v>
      </c>
      <c r="AH742" s="328"/>
      <c r="AI742" s="325">
        <v>0</v>
      </c>
      <c r="AJ742" s="328"/>
      <c r="AK742" s="325">
        <v>0</v>
      </c>
      <c r="AL742" s="328"/>
      <c r="AM742" s="325">
        <v>0</v>
      </c>
      <c r="AN742" s="328"/>
      <c r="AO742" s="12">
        <v>326.01</v>
      </c>
      <c r="AP742" s="131" t="s">
        <v>207</v>
      </c>
      <c r="AQ742" s="12">
        <v>459.87</v>
      </c>
      <c r="AR742" s="131" t="s">
        <v>207</v>
      </c>
      <c r="AS742" s="12">
        <v>570.73500000000001</v>
      </c>
      <c r="AT742" s="131" t="s">
        <v>207</v>
      </c>
      <c r="AU742" s="29">
        <f t="shared" si="33"/>
        <v>4096.2250000000004</v>
      </c>
      <c r="AV742" s="329" t="s">
        <v>1697</v>
      </c>
      <c r="AW742" s="23" t="s">
        <v>211</v>
      </c>
      <c r="AX742" s="23" t="s">
        <v>208</v>
      </c>
      <c r="AY742" s="24">
        <v>3</v>
      </c>
      <c r="AZ742" s="24"/>
    </row>
    <row r="743" spans="1:52" ht="15" customHeight="1" x14ac:dyDescent="0.3">
      <c r="A743" s="114">
        <v>732</v>
      </c>
      <c r="B743" s="174" t="s">
        <v>1575</v>
      </c>
      <c r="C743" s="11" t="s">
        <v>1619</v>
      </c>
      <c r="D743" s="11" t="s">
        <v>288</v>
      </c>
      <c r="E743" s="29" t="s">
        <v>205</v>
      </c>
      <c r="F743" s="11" t="s">
        <v>1620</v>
      </c>
      <c r="G743" s="25" t="s">
        <v>145</v>
      </c>
      <c r="H743" s="23" t="s">
        <v>146</v>
      </c>
      <c r="I743" s="24">
        <v>3</v>
      </c>
      <c r="J743" s="23" t="s">
        <v>205</v>
      </c>
      <c r="K743" s="23">
        <v>100</v>
      </c>
      <c r="L743" s="23" t="s">
        <v>1621</v>
      </c>
      <c r="M743" s="23" t="s">
        <v>211</v>
      </c>
      <c r="N743" s="122" t="s">
        <v>218</v>
      </c>
      <c r="O743" s="23"/>
      <c r="P743" s="132" t="s">
        <v>218</v>
      </c>
      <c r="Q743" s="23"/>
      <c r="R743" s="23" t="s">
        <v>1622</v>
      </c>
      <c r="S743" s="23"/>
      <c r="T743" s="23"/>
      <c r="U743" s="354">
        <v>4219.58</v>
      </c>
      <c r="V743" s="24">
        <v>4574.05</v>
      </c>
      <c r="W743" s="24">
        <v>743.75</v>
      </c>
      <c r="X743" s="133" t="s">
        <v>449</v>
      </c>
      <c r="Y743" s="12">
        <f>178.88+143.56+114.5</f>
        <v>436.94</v>
      </c>
      <c r="Z743" s="133" t="s">
        <v>207</v>
      </c>
      <c r="AA743" s="12">
        <f>266.93+228.98+177.34</f>
        <v>673.25</v>
      </c>
      <c r="AB743" s="133" t="s">
        <v>207</v>
      </c>
      <c r="AC743" s="12">
        <v>649.63</v>
      </c>
      <c r="AD743" s="131" t="s">
        <v>207</v>
      </c>
      <c r="AE743" s="12">
        <v>205.32300000000001</v>
      </c>
      <c r="AF743" s="131" t="s">
        <v>207</v>
      </c>
      <c r="AG743" s="325">
        <v>0</v>
      </c>
      <c r="AH743" s="328"/>
      <c r="AI743" s="325">
        <v>0</v>
      </c>
      <c r="AJ743" s="328"/>
      <c r="AK743" s="325">
        <v>0</v>
      </c>
      <c r="AL743" s="328"/>
      <c r="AM743" s="325">
        <v>0</v>
      </c>
      <c r="AN743" s="328"/>
      <c r="AO743" s="12">
        <v>308.06</v>
      </c>
      <c r="AP743" s="131" t="s">
        <v>207</v>
      </c>
      <c r="AQ743" s="12">
        <v>452.03</v>
      </c>
      <c r="AR743" s="131" t="s">
        <v>207</v>
      </c>
      <c r="AS743" s="12">
        <v>588.79</v>
      </c>
      <c r="AT743" s="131" t="s">
        <v>207</v>
      </c>
      <c r="AU743" s="29">
        <f t="shared" si="33"/>
        <v>4057.7730000000001</v>
      </c>
      <c r="AV743" s="329" t="s">
        <v>1698</v>
      </c>
      <c r="AW743" s="23" t="s">
        <v>211</v>
      </c>
      <c r="AX743" s="23" t="s">
        <v>208</v>
      </c>
      <c r="AY743" s="24">
        <v>3</v>
      </c>
      <c r="AZ743" s="24"/>
    </row>
    <row r="744" spans="1:52" ht="15" customHeight="1" x14ac:dyDescent="0.3">
      <c r="A744" s="114">
        <v>733</v>
      </c>
      <c r="B744" s="174" t="s">
        <v>1576</v>
      </c>
      <c r="C744" s="11" t="s">
        <v>1619</v>
      </c>
      <c r="D744" s="11" t="s">
        <v>288</v>
      </c>
      <c r="E744" s="29" t="s">
        <v>205</v>
      </c>
      <c r="F744" s="11" t="s">
        <v>1620</v>
      </c>
      <c r="G744" s="25" t="s">
        <v>145</v>
      </c>
      <c r="H744" s="23" t="s">
        <v>146</v>
      </c>
      <c r="I744" s="24">
        <v>1</v>
      </c>
      <c r="J744" s="23" t="s">
        <v>205</v>
      </c>
      <c r="K744" s="23">
        <v>100</v>
      </c>
      <c r="L744" s="23" t="s">
        <v>1621</v>
      </c>
      <c r="M744" s="23" t="s">
        <v>211</v>
      </c>
      <c r="N744" s="122" t="s">
        <v>218</v>
      </c>
      <c r="O744" s="23"/>
      <c r="P744" s="132" t="s">
        <v>218</v>
      </c>
      <c r="Q744" s="23"/>
      <c r="R744" s="23" t="s">
        <v>1622</v>
      </c>
      <c r="S744" s="23"/>
      <c r="T744" s="23"/>
      <c r="U744" s="354">
        <v>2076.21</v>
      </c>
      <c r="V744" s="24">
        <v>2205.02</v>
      </c>
      <c r="W744" s="24">
        <v>407.07</v>
      </c>
      <c r="X744" s="133" t="s">
        <v>207</v>
      </c>
      <c r="Y744" s="12">
        <v>416.96</v>
      </c>
      <c r="Z744" s="133" t="s">
        <v>207</v>
      </c>
      <c r="AA744" s="12">
        <v>396.24</v>
      </c>
      <c r="AB744" s="133" t="s">
        <v>207</v>
      </c>
      <c r="AC744" s="12">
        <v>344</v>
      </c>
      <c r="AD744" s="131" t="s">
        <v>207</v>
      </c>
      <c r="AE744" s="12">
        <v>129.31700000000001</v>
      </c>
      <c r="AF744" s="131" t="s">
        <v>207</v>
      </c>
      <c r="AG744" s="325">
        <v>0</v>
      </c>
      <c r="AH744" s="328"/>
      <c r="AI744" s="325">
        <v>0</v>
      </c>
      <c r="AJ744" s="328"/>
      <c r="AK744" s="325">
        <v>0</v>
      </c>
      <c r="AL744" s="328"/>
      <c r="AM744" s="325">
        <v>0</v>
      </c>
      <c r="AN744" s="328"/>
      <c r="AO744" s="12">
        <v>163.09</v>
      </c>
      <c r="AP744" s="131" t="s">
        <v>207</v>
      </c>
      <c r="AQ744" s="12">
        <v>237.02</v>
      </c>
      <c r="AR744" s="131" t="s">
        <v>207</v>
      </c>
      <c r="AS744" s="12">
        <v>339.71</v>
      </c>
      <c r="AT744" s="131" t="s">
        <v>207</v>
      </c>
      <c r="AU744" s="11">
        <f t="shared" si="33"/>
        <v>2433.4070000000002</v>
      </c>
      <c r="AV744" s="329" t="s">
        <v>1661</v>
      </c>
      <c r="AW744" s="23" t="s">
        <v>211</v>
      </c>
      <c r="AX744" s="23" t="s">
        <v>208</v>
      </c>
      <c r="AY744" s="24">
        <v>1</v>
      </c>
      <c r="AZ744" s="24"/>
    </row>
    <row r="745" spans="1:52" ht="15" customHeight="1" x14ac:dyDescent="0.3">
      <c r="A745" s="114">
        <v>734</v>
      </c>
      <c r="B745" s="174" t="s">
        <v>1577</v>
      </c>
      <c r="C745" s="11" t="s">
        <v>1619</v>
      </c>
      <c r="D745" s="11" t="s">
        <v>288</v>
      </c>
      <c r="E745" s="29" t="s">
        <v>205</v>
      </c>
      <c r="F745" s="11" t="s">
        <v>1620</v>
      </c>
      <c r="G745" s="25" t="s">
        <v>145</v>
      </c>
      <c r="H745" s="23" t="s">
        <v>146</v>
      </c>
      <c r="I745" s="24">
        <v>1</v>
      </c>
      <c r="J745" s="23" t="s">
        <v>205</v>
      </c>
      <c r="K745" s="23">
        <v>100</v>
      </c>
      <c r="L745" s="23" t="s">
        <v>1621</v>
      </c>
      <c r="M745" s="23" t="s">
        <v>211</v>
      </c>
      <c r="N745" s="122" t="s">
        <v>218</v>
      </c>
      <c r="O745" s="23"/>
      <c r="P745" s="132" t="s">
        <v>218</v>
      </c>
      <c r="Q745" s="23"/>
      <c r="R745" s="23" t="s">
        <v>1622</v>
      </c>
      <c r="S745" s="23"/>
      <c r="T745" s="23"/>
      <c r="U745" s="354">
        <v>1172.3900000000001</v>
      </c>
      <c r="V745" s="24">
        <v>1194.8800000000001</v>
      </c>
      <c r="W745" s="24">
        <v>227.6</v>
      </c>
      <c r="X745" s="133" t="s">
        <v>207</v>
      </c>
      <c r="Y745" s="12">
        <v>215.18</v>
      </c>
      <c r="Z745" s="133" t="s">
        <v>207</v>
      </c>
      <c r="AA745" s="12">
        <v>208</v>
      </c>
      <c r="AB745" s="133" t="s">
        <v>207</v>
      </c>
      <c r="AC745" s="12">
        <v>172.3</v>
      </c>
      <c r="AD745" s="131" t="s">
        <v>207</v>
      </c>
      <c r="AE745" s="12">
        <v>64.852999999999994</v>
      </c>
      <c r="AF745" s="131" t="s">
        <v>207</v>
      </c>
      <c r="AG745" s="325">
        <v>0</v>
      </c>
      <c r="AH745" s="328"/>
      <c r="AI745" s="325">
        <v>0</v>
      </c>
      <c r="AJ745" s="328"/>
      <c r="AK745" s="325">
        <v>0</v>
      </c>
      <c r="AL745" s="328"/>
      <c r="AM745" s="325">
        <v>0</v>
      </c>
      <c r="AN745" s="328"/>
      <c r="AO745" s="12">
        <v>87.45</v>
      </c>
      <c r="AP745" s="131" t="s">
        <v>207</v>
      </c>
      <c r="AQ745" s="12">
        <v>140.56</v>
      </c>
      <c r="AR745" s="131" t="s">
        <v>207</v>
      </c>
      <c r="AS745" s="12">
        <v>174.18600000000001</v>
      </c>
      <c r="AT745" s="131" t="s">
        <v>207</v>
      </c>
      <c r="AU745" s="11">
        <f t="shared" si="33"/>
        <v>1290.1289999999999</v>
      </c>
      <c r="AV745" s="329" t="s">
        <v>1699</v>
      </c>
      <c r="AW745" s="23" t="s">
        <v>211</v>
      </c>
      <c r="AX745" s="23" t="s">
        <v>208</v>
      </c>
      <c r="AY745" s="24">
        <v>1</v>
      </c>
      <c r="AZ745" s="24"/>
    </row>
    <row r="746" spans="1:52" ht="15" customHeight="1" x14ac:dyDescent="0.3">
      <c r="A746" s="114">
        <v>735</v>
      </c>
      <c r="B746" s="174" t="s">
        <v>1578</v>
      </c>
      <c r="C746" s="11" t="s">
        <v>1619</v>
      </c>
      <c r="D746" s="11" t="s">
        <v>288</v>
      </c>
      <c r="E746" s="29" t="s">
        <v>289</v>
      </c>
      <c r="F746" s="11" t="s">
        <v>1620</v>
      </c>
      <c r="G746" s="25" t="s">
        <v>145</v>
      </c>
      <c r="H746" s="23" t="s">
        <v>146</v>
      </c>
      <c r="I746" s="24">
        <v>2</v>
      </c>
      <c r="J746" s="23" t="s">
        <v>289</v>
      </c>
      <c r="K746" s="23">
        <v>100</v>
      </c>
      <c r="L746" s="23" t="s">
        <v>1621</v>
      </c>
      <c r="M746" s="23" t="s">
        <v>223</v>
      </c>
      <c r="N746" s="122" t="s">
        <v>218</v>
      </c>
      <c r="O746" s="23"/>
      <c r="P746" s="132" t="s">
        <v>218</v>
      </c>
      <c r="Q746" s="23"/>
      <c r="R746" s="23" t="s">
        <v>1622</v>
      </c>
      <c r="S746" s="23"/>
      <c r="T746" s="23"/>
      <c r="U746" s="354">
        <v>1741.67</v>
      </c>
      <c r="V746" s="24">
        <v>1839.82</v>
      </c>
      <c r="W746" s="24">
        <f>196.6+266.6</f>
        <v>463.20000000000005</v>
      </c>
      <c r="X746" s="133" t="s">
        <v>207</v>
      </c>
      <c r="Y746" s="12">
        <f>176.38+236.8</f>
        <v>413.18</v>
      </c>
      <c r="Z746" s="133" t="s">
        <v>207</v>
      </c>
      <c r="AA746" s="12">
        <f>173.46+225.15</f>
        <v>398.61</v>
      </c>
      <c r="AB746" s="133" t="s">
        <v>207</v>
      </c>
      <c r="AC746" s="12">
        <v>301.2</v>
      </c>
      <c r="AD746" s="131" t="s">
        <v>207</v>
      </c>
      <c r="AE746" s="12">
        <v>122.52</v>
      </c>
      <c r="AF746" s="131" t="s">
        <v>207</v>
      </c>
      <c r="AG746" s="325">
        <v>0</v>
      </c>
      <c r="AH746" s="328"/>
      <c r="AI746" s="325">
        <v>0</v>
      </c>
      <c r="AJ746" s="328"/>
      <c r="AK746" s="325">
        <v>0</v>
      </c>
      <c r="AL746" s="328"/>
      <c r="AM746" s="325">
        <v>0</v>
      </c>
      <c r="AN746" s="328"/>
      <c r="AO746" s="12">
        <v>172.78</v>
      </c>
      <c r="AP746" s="131" t="s">
        <v>207</v>
      </c>
      <c r="AQ746" s="12">
        <v>245.89</v>
      </c>
      <c r="AR746" s="131" t="s">
        <v>207</v>
      </c>
      <c r="AS746" s="12">
        <v>312.04000000000002</v>
      </c>
      <c r="AT746" s="131" t="s">
        <v>207</v>
      </c>
      <c r="AU746" s="11">
        <f t="shared" si="33"/>
        <v>2429.42</v>
      </c>
      <c r="AV746" s="329" t="s">
        <v>1700</v>
      </c>
      <c r="AW746" s="23" t="s">
        <v>223</v>
      </c>
      <c r="AX746" s="23" t="s">
        <v>208</v>
      </c>
      <c r="AY746" s="24">
        <v>2</v>
      </c>
      <c r="AZ746" s="24"/>
    </row>
    <row r="747" spans="1:52" ht="15" customHeight="1" x14ac:dyDescent="0.3">
      <c r="A747" s="114">
        <v>736</v>
      </c>
      <c r="B747" s="174" t="s">
        <v>1579</v>
      </c>
      <c r="C747" s="11" t="s">
        <v>1619</v>
      </c>
      <c r="D747" s="11" t="s">
        <v>288</v>
      </c>
      <c r="E747" s="29" t="s">
        <v>205</v>
      </c>
      <c r="F747" s="11" t="s">
        <v>1620</v>
      </c>
      <c r="G747" s="25" t="s">
        <v>145</v>
      </c>
      <c r="H747" s="23" t="s">
        <v>146</v>
      </c>
      <c r="I747" s="24">
        <v>1</v>
      </c>
      <c r="J747" s="23" t="s">
        <v>205</v>
      </c>
      <c r="K747" s="23">
        <v>100</v>
      </c>
      <c r="L747" s="23" t="s">
        <v>1621</v>
      </c>
      <c r="M747" s="23" t="s">
        <v>211</v>
      </c>
      <c r="N747" s="122" t="s">
        <v>218</v>
      </c>
      <c r="O747" s="23"/>
      <c r="P747" s="132" t="s">
        <v>218</v>
      </c>
      <c r="Q747" s="23"/>
      <c r="R747" s="23" t="s">
        <v>1622</v>
      </c>
      <c r="S747" s="23"/>
      <c r="T747" s="23"/>
      <c r="U747" s="354">
        <v>2049.35</v>
      </c>
      <c r="V747" s="24">
        <v>2370.23</v>
      </c>
      <c r="W747" s="24">
        <f>443.57</f>
        <v>443.57</v>
      </c>
      <c r="X747" s="133" t="s">
        <v>207</v>
      </c>
      <c r="Y747" s="12">
        <v>392.31299999999999</v>
      </c>
      <c r="Z747" s="133" t="s">
        <v>207</v>
      </c>
      <c r="AA747" s="12">
        <v>380.11</v>
      </c>
      <c r="AB747" s="133" t="s">
        <v>207</v>
      </c>
      <c r="AC747" s="12">
        <v>292.79000000000002</v>
      </c>
      <c r="AD747" s="131" t="s">
        <v>207</v>
      </c>
      <c r="AE747" s="12">
        <v>110.42</v>
      </c>
      <c r="AF747" s="131" t="s">
        <v>207</v>
      </c>
      <c r="AG747" s="325">
        <v>0</v>
      </c>
      <c r="AH747" s="328"/>
      <c r="AI747" s="325">
        <v>0</v>
      </c>
      <c r="AJ747" s="328"/>
      <c r="AK747" s="325">
        <v>0</v>
      </c>
      <c r="AL747" s="328"/>
      <c r="AM747" s="325">
        <v>0</v>
      </c>
      <c r="AN747" s="328"/>
      <c r="AO747" s="12">
        <v>163.36000000000001</v>
      </c>
      <c r="AP747" s="131" t="s">
        <v>207</v>
      </c>
      <c r="AQ747" s="12">
        <v>233.64</v>
      </c>
      <c r="AR747" s="131" t="s">
        <v>207</v>
      </c>
      <c r="AS747" s="12">
        <v>298.92</v>
      </c>
      <c r="AT747" s="131" t="s">
        <v>207</v>
      </c>
      <c r="AU747" s="11">
        <f t="shared" si="33"/>
        <v>2315.123</v>
      </c>
      <c r="AV747" s="329" t="s">
        <v>1701</v>
      </c>
      <c r="AW747" s="23" t="s">
        <v>211</v>
      </c>
      <c r="AX747" s="23" t="s">
        <v>208</v>
      </c>
      <c r="AY747" s="24">
        <v>1</v>
      </c>
      <c r="AZ747" s="24"/>
    </row>
    <row r="748" spans="1:52" ht="15" customHeight="1" x14ac:dyDescent="0.3">
      <c r="A748" s="114">
        <v>737</v>
      </c>
      <c r="B748" s="174" t="s">
        <v>1580</v>
      </c>
      <c r="C748" s="11" t="s">
        <v>1619</v>
      </c>
      <c r="D748" s="11" t="s">
        <v>288</v>
      </c>
      <c r="E748" s="29" t="s">
        <v>205</v>
      </c>
      <c r="F748" s="11" t="s">
        <v>1620</v>
      </c>
      <c r="G748" s="25" t="s">
        <v>145</v>
      </c>
      <c r="H748" s="23" t="s">
        <v>146</v>
      </c>
      <c r="I748" s="24">
        <v>1</v>
      </c>
      <c r="J748" s="23" t="s">
        <v>205</v>
      </c>
      <c r="K748" s="23">
        <v>100</v>
      </c>
      <c r="L748" s="23" t="s">
        <v>1621</v>
      </c>
      <c r="M748" s="23" t="s">
        <v>211</v>
      </c>
      <c r="N748" s="122" t="s">
        <v>218</v>
      </c>
      <c r="O748" s="23"/>
      <c r="P748" s="132" t="s">
        <v>218</v>
      </c>
      <c r="Q748" s="23"/>
      <c r="R748" s="23" t="s">
        <v>1622</v>
      </c>
      <c r="S748" s="23"/>
      <c r="T748" s="23"/>
      <c r="U748" s="354">
        <v>1147.8900000000001</v>
      </c>
      <c r="V748" s="24">
        <v>1340.18</v>
      </c>
      <c r="W748" s="24">
        <v>260.11</v>
      </c>
      <c r="X748" s="133" t="s">
        <v>207</v>
      </c>
      <c r="Y748" s="12">
        <v>231.01</v>
      </c>
      <c r="Z748" s="133" t="s">
        <v>207</v>
      </c>
      <c r="AA748" s="12">
        <v>223.3</v>
      </c>
      <c r="AB748" s="133" t="s">
        <v>207</v>
      </c>
      <c r="AC748" s="12">
        <v>173.69</v>
      </c>
      <c r="AD748" s="131" t="s">
        <v>207</v>
      </c>
      <c r="AE748" s="12">
        <v>53.69</v>
      </c>
      <c r="AF748" s="131" t="s">
        <v>207</v>
      </c>
      <c r="AG748" s="325">
        <v>0</v>
      </c>
      <c r="AH748" s="328"/>
      <c r="AI748" s="325">
        <v>0</v>
      </c>
      <c r="AJ748" s="328"/>
      <c r="AK748" s="325">
        <v>0</v>
      </c>
      <c r="AL748" s="328"/>
      <c r="AM748" s="325">
        <v>0</v>
      </c>
      <c r="AN748" s="328"/>
      <c r="AO748" s="12">
        <v>105.77</v>
      </c>
      <c r="AP748" s="131" t="s">
        <v>207</v>
      </c>
      <c r="AQ748" s="12">
        <v>146.56</v>
      </c>
      <c r="AR748" s="131" t="s">
        <v>207</v>
      </c>
      <c r="AS748" s="12">
        <v>192.51</v>
      </c>
      <c r="AT748" s="131" t="s">
        <v>207</v>
      </c>
      <c r="AU748" s="11">
        <f t="shared" si="33"/>
        <v>1386.64</v>
      </c>
      <c r="AV748" s="329" t="s">
        <v>1702</v>
      </c>
      <c r="AW748" s="23" t="s">
        <v>211</v>
      </c>
      <c r="AX748" s="23" t="s">
        <v>208</v>
      </c>
      <c r="AY748" s="24">
        <v>1</v>
      </c>
      <c r="AZ748" s="24"/>
    </row>
    <row r="749" spans="1:52" ht="15" customHeight="1" x14ac:dyDescent="0.3">
      <c r="A749" s="114">
        <v>738</v>
      </c>
      <c r="B749" s="174" t="s">
        <v>1581</v>
      </c>
      <c r="C749" s="11" t="s">
        <v>1619</v>
      </c>
      <c r="D749" s="11" t="s">
        <v>288</v>
      </c>
      <c r="E749" s="29" t="s">
        <v>205</v>
      </c>
      <c r="F749" s="11" t="s">
        <v>1620</v>
      </c>
      <c r="G749" s="25" t="s">
        <v>145</v>
      </c>
      <c r="H749" s="23" t="s">
        <v>146</v>
      </c>
      <c r="I749" s="24">
        <v>1</v>
      </c>
      <c r="J749" s="23" t="s">
        <v>205</v>
      </c>
      <c r="K749" s="23">
        <v>100</v>
      </c>
      <c r="L749" s="23" t="s">
        <v>1621</v>
      </c>
      <c r="M749" s="23" t="s">
        <v>211</v>
      </c>
      <c r="N749" s="122" t="s">
        <v>218</v>
      </c>
      <c r="O749" s="23"/>
      <c r="P749" s="132" t="s">
        <v>218</v>
      </c>
      <c r="Q749" s="23"/>
      <c r="R749" s="23" t="s">
        <v>1622</v>
      </c>
      <c r="S749" s="23"/>
      <c r="T749" s="23"/>
      <c r="U749" s="354">
        <v>1180</v>
      </c>
      <c r="V749" s="24">
        <v>1362.3</v>
      </c>
      <c r="W749" s="24">
        <v>275.25</v>
      </c>
      <c r="X749" s="133" t="s">
        <v>207</v>
      </c>
      <c r="Y749" s="12">
        <v>242.446</v>
      </c>
      <c r="Z749" s="133" t="s">
        <v>207</v>
      </c>
      <c r="AA749" s="12">
        <v>219.56</v>
      </c>
      <c r="AB749" s="133" t="s">
        <v>207</v>
      </c>
      <c r="AC749" s="12">
        <v>179.03</v>
      </c>
      <c r="AD749" s="131" t="s">
        <v>207</v>
      </c>
      <c r="AE749" s="12">
        <v>63.89</v>
      </c>
      <c r="AF749" s="131" t="s">
        <v>207</v>
      </c>
      <c r="AG749" s="325">
        <v>0</v>
      </c>
      <c r="AH749" s="328"/>
      <c r="AI749" s="325">
        <v>0</v>
      </c>
      <c r="AJ749" s="328"/>
      <c r="AK749" s="325">
        <v>0</v>
      </c>
      <c r="AL749" s="328"/>
      <c r="AM749" s="325">
        <v>0</v>
      </c>
      <c r="AN749" s="328"/>
      <c r="AO749" s="12">
        <v>95.26</v>
      </c>
      <c r="AP749" s="131" t="s">
        <v>207</v>
      </c>
      <c r="AQ749" s="12">
        <v>139.76</v>
      </c>
      <c r="AR749" s="131" t="s">
        <v>207</v>
      </c>
      <c r="AS749" s="12">
        <v>175.85</v>
      </c>
      <c r="AT749" s="131" t="s">
        <v>207</v>
      </c>
      <c r="AU749" s="11">
        <f t="shared" si="33"/>
        <v>1391.046</v>
      </c>
      <c r="AV749" s="329" t="s">
        <v>1703</v>
      </c>
      <c r="AW749" s="23" t="s">
        <v>211</v>
      </c>
      <c r="AX749" s="23" t="s">
        <v>208</v>
      </c>
      <c r="AY749" s="24">
        <v>1</v>
      </c>
      <c r="AZ749" s="24"/>
    </row>
    <row r="750" spans="1:52" ht="15" customHeight="1" x14ac:dyDescent="0.3">
      <c r="A750" s="114">
        <v>739</v>
      </c>
      <c r="B750" s="174" t="s">
        <v>1582</v>
      </c>
      <c r="C750" s="11" t="s">
        <v>1619</v>
      </c>
      <c r="D750" s="11" t="s">
        <v>288</v>
      </c>
      <c r="E750" s="29" t="s">
        <v>205</v>
      </c>
      <c r="F750" s="11" t="s">
        <v>1620</v>
      </c>
      <c r="G750" s="25" t="s">
        <v>145</v>
      </c>
      <c r="H750" s="23" t="s">
        <v>146</v>
      </c>
      <c r="I750" s="24">
        <v>1</v>
      </c>
      <c r="J750" s="23" t="s">
        <v>205</v>
      </c>
      <c r="K750" s="23">
        <v>100</v>
      </c>
      <c r="L750" s="23" t="s">
        <v>1621</v>
      </c>
      <c r="M750" s="23" t="s">
        <v>211</v>
      </c>
      <c r="N750" s="122" t="s">
        <v>218</v>
      </c>
      <c r="O750" s="23"/>
      <c r="P750" s="132" t="s">
        <v>218</v>
      </c>
      <c r="Q750" s="23"/>
      <c r="R750" s="23" t="s">
        <v>1622</v>
      </c>
      <c r="S750" s="23"/>
      <c r="T750" s="23"/>
      <c r="U750" s="354">
        <v>773.18</v>
      </c>
      <c r="V750" s="24">
        <v>921.81</v>
      </c>
      <c r="W750" s="24">
        <v>200.37</v>
      </c>
      <c r="X750" s="133" t="s">
        <v>207</v>
      </c>
      <c r="Y750" s="12">
        <v>172.38</v>
      </c>
      <c r="Z750" s="133" t="s">
        <v>207</v>
      </c>
      <c r="AA750" s="12">
        <v>160.29</v>
      </c>
      <c r="AB750" s="133" t="s">
        <v>207</v>
      </c>
      <c r="AC750" s="12">
        <v>122.97</v>
      </c>
      <c r="AD750" s="131" t="s">
        <v>207</v>
      </c>
      <c r="AE750" s="12">
        <v>40.840000000000003</v>
      </c>
      <c r="AF750" s="131" t="s">
        <v>207</v>
      </c>
      <c r="AG750" s="325">
        <v>0</v>
      </c>
      <c r="AH750" s="328"/>
      <c r="AI750" s="325">
        <v>0</v>
      </c>
      <c r="AJ750" s="328"/>
      <c r="AK750" s="325">
        <v>0</v>
      </c>
      <c r="AL750" s="328"/>
      <c r="AM750" s="325">
        <v>0</v>
      </c>
      <c r="AN750" s="328"/>
      <c r="AO750" s="12">
        <v>80.251000000000005</v>
      </c>
      <c r="AP750" s="131" t="s">
        <v>207</v>
      </c>
      <c r="AQ750" s="12">
        <v>109.36</v>
      </c>
      <c r="AR750" s="131" t="s">
        <v>207</v>
      </c>
      <c r="AS750" s="12">
        <v>133.13999999999999</v>
      </c>
      <c r="AT750" s="131" t="s">
        <v>207</v>
      </c>
      <c r="AU750" s="11">
        <f t="shared" si="33"/>
        <v>1019.601</v>
      </c>
      <c r="AV750" s="329" t="s">
        <v>1704</v>
      </c>
      <c r="AW750" s="23" t="s">
        <v>211</v>
      </c>
      <c r="AX750" s="23" t="s">
        <v>208</v>
      </c>
      <c r="AY750" s="24">
        <v>1</v>
      </c>
      <c r="AZ750" s="24"/>
    </row>
    <row r="751" spans="1:52" ht="15" customHeight="1" x14ac:dyDescent="0.3">
      <c r="A751" s="114">
        <v>740</v>
      </c>
      <c r="B751" s="174" t="s">
        <v>1583</v>
      </c>
      <c r="C751" s="11" t="s">
        <v>1619</v>
      </c>
      <c r="D751" s="11" t="s">
        <v>288</v>
      </c>
      <c r="E751" s="29" t="s">
        <v>205</v>
      </c>
      <c r="F751" s="11" t="s">
        <v>1620</v>
      </c>
      <c r="G751" s="25" t="s">
        <v>145</v>
      </c>
      <c r="H751" s="23" t="s">
        <v>146</v>
      </c>
      <c r="I751" s="24">
        <v>1</v>
      </c>
      <c r="J751" s="23" t="s">
        <v>205</v>
      </c>
      <c r="K751" s="23">
        <v>100</v>
      </c>
      <c r="L751" s="23" t="s">
        <v>1621</v>
      </c>
      <c r="M751" s="23" t="s">
        <v>211</v>
      </c>
      <c r="N751" s="122" t="s">
        <v>218</v>
      </c>
      <c r="O751" s="23"/>
      <c r="P751" s="132" t="s">
        <v>218</v>
      </c>
      <c r="Q751" s="23"/>
      <c r="R751" s="23" t="s">
        <v>1622</v>
      </c>
      <c r="S751" s="23"/>
      <c r="T751" s="23"/>
      <c r="U751" s="354">
        <v>776.3</v>
      </c>
      <c r="V751" s="24">
        <v>926.58</v>
      </c>
      <c r="W751" s="24">
        <v>176.53</v>
      </c>
      <c r="X751" s="133" t="s">
        <v>207</v>
      </c>
      <c r="Y751" s="12">
        <v>165.97</v>
      </c>
      <c r="Z751" s="133" t="s">
        <v>207</v>
      </c>
      <c r="AA751" s="12">
        <v>156.72</v>
      </c>
      <c r="AB751" s="133" t="s">
        <v>207</v>
      </c>
      <c r="AC751" s="12">
        <v>129.5</v>
      </c>
      <c r="AD751" s="131" t="s">
        <v>207</v>
      </c>
      <c r="AE751" s="12">
        <v>50.23</v>
      </c>
      <c r="AF751" s="131" t="s">
        <v>207</v>
      </c>
      <c r="AG751" s="325">
        <v>0</v>
      </c>
      <c r="AH751" s="328"/>
      <c r="AI751" s="325">
        <v>0</v>
      </c>
      <c r="AJ751" s="328"/>
      <c r="AK751" s="325">
        <v>0</v>
      </c>
      <c r="AL751" s="328"/>
      <c r="AM751" s="325">
        <v>0</v>
      </c>
      <c r="AN751" s="328"/>
      <c r="AO751" s="12">
        <v>60.9</v>
      </c>
      <c r="AP751" s="131" t="s">
        <v>207</v>
      </c>
      <c r="AQ751" s="12">
        <v>95.06</v>
      </c>
      <c r="AR751" s="131" t="s">
        <v>207</v>
      </c>
      <c r="AS751" s="12">
        <v>124.19</v>
      </c>
      <c r="AT751" s="131" t="s">
        <v>207</v>
      </c>
      <c r="AU751" s="11">
        <f t="shared" si="33"/>
        <v>959.10000000000014</v>
      </c>
      <c r="AV751" s="329" t="s">
        <v>1705</v>
      </c>
      <c r="AW751" s="23" t="s">
        <v>211</v>
      </c>
      <c r="AX751" s="23" t="s">
        <v>208</v>
      </c>
      <c r="AY751" s="24">
        <v>1</v>
      </c>
      <c r="AZ751" s="24"/>
    </row>
    <row r="752" spans="1:52" ht="15" customHeight="1" x14ac:dyDescent="0.3">
      <c r="A752" s="114">
        <v>741</v>
      </c>
      <c r="B752" s="174" t="s">
        <v>1584</v>
      </c>
      <c r="C752" s="11" t="s">
        <v>1619</v>
      </c>
      <c r="D752" s="11" t="s">
        <v>288</v>
      </c>
      <c r="E752" s="29" t="s">
        <v>205</v>
      </c>
      <c r="F752" s="11" t="s">
        <v>1620</v>
      </c>
      <c r="G752" s="25" t="s">
        <v>145</v>
      </c>
      <c r="H752" s="23" t="s">
        <v>146</v>
      </c>
      <c r="I752" s="24">
        <v>8</v>
      </c>
      <c r="J752" s="23" t="s">
        <v>205</v>
      </c>
      <c r="K752" s="23">
        <v>100</v>
      </c>
      <c r="L752" s="23" t="s">
        <v>1621</v>
      </c>
      <c r="M752" s="23" t="s">
        <v>211</v>
      </c>
      <c r="N752" s="122" t="s">
        <v>218</v>
      </c>
      <c r="O752" s="23"/>
      <c r="P752" s="132" t="s">
        <v>218</v>
      </c>
      <c r="Q752" s="23"/>
      <c r="R752" s="23" t="s">
        <v>1622</v>
      </c>
      <c r="S752" s="23"/>
      <c r="T752" s="23"/>
      <c r="U752" s="354">
        <v>4958.3900000000003</v>
      </c>
      <c r="V752" s="24">
        <v>4858.6400000000003</v>
      </c>
      <c r="W752" s="24">
        <f>221+229+222+141+47+32+42+34</f>
        <v>968</v>
      </c>
      <c r="X752" s="133" t="s">
        <v>207</v>
      </c>
      <c r="Y752" s="12">
        <f>177.58+43.14+188.74+26.11+194.79+30.04+152.22+30.33</f>
        <v>842.95</v>
      </c>
      <c r="Z752" s="133" t="s">
        <v>207</v>
      </c>
      <c r="AA752" s="12">
        <f>185.34+40.49+186.14+26.82+177.29+27.72+146.54+30.16</f>
        <v>820.5</v>
      </c>
      <c r="AB752" s="133" t="s">
        <v>207</v>
      </c>
      <c r="AC752" s="12">
        <v>782.94</v>
      </c>
      <c r="AD752" s="131" t="s">
        <v>207</v>
      </c>
      <c r="AE752" s="12">
        <v>235.625</v>
      </c>
      <c r="AF752" s="131" t="s">
        <v>207</v>
      </c>
      <c r="AG752" s="325">
        <v>0</v>
      </c>
      <c r="AH752" s="328"/>
      <c r="AI752" s="325">
        <v>0</v>
      </c>
      <c r="AJ752" s="328"/>
      <c r="AK752" s="325">
        <v>0</v>
      </c>
      <c r="AL752" s="328"/>
      <c r="AM752" s="325">
        <v>0</v>
      </c>
      <c r="AN752" s="328"/>
      <c r="AO752" s="12">
        <v>375.16</v>
      </c>
      <c r="AP752" s="131" t="s">
        <v>207</v>
      </c>
      <c r="AQ752" s="12">
        <v>505.98</v>
      </c>
      <c r="AR752" s="131" t="s">
        <v>207</v>
      </c>
      <c r="AS752" s="12">
        <v>692.7</v>
      </c>
      <c r="AT752" s="131" t="s">
        <v>207</v>
      </c>
      <c r="AU752" s="11">
        <f t="shared" si="33"/>
        <v>5223.8549999999996</v>
      </c>
      <c r="AV752" s="329" t="s">
        <v>1706</v>
      </c>
      <c r="AW752" s="23" t="s">
        <v>211</v>
      </c>
      <c r="AX752" s="23" t="s">
        <v>208</v>
      </c>
      <c r="AY752" s="24">
        <v>8</v>
      </c>
      <c r="AZ752" s="24"/>
    </row>
    <row r="753" spans="1:52" ht="15" customHeight="1" x14ac:dyDescent="0.3">
      <c r="A753" s="114">
        <v>742</v>
      </c>
      <c r="B753" s="174" t="s">
        <v>1585</v>
      </c>
      <c r="C753" s="11" t="s">
        <v>1619</v>
      </c>
      <c r="D753" s="11" t="s">
        <v>288</v>
      </c>
      <c r="E753" s="29" t="s">
        <v>205</v>
      </c>
      <c r="F753" s="11" t="s">
        <v>1620</v>
      </c>
      <c r="G753" s="25" t="s">
        <v>145</v>
      </c>
      <c r="H753" s="23" t="s">
        <v>146</v>
      </c>
      <c r="I753" s="24">
        <v>3</v>
      </c>
      <c r="J753" s="23" t="s">
        <v>205</v>
      </c>
      <c r="K753" s="23">
        <v>100</v>
      </c>
      <c r="L753" s="23" t="s">
        <v>1621</v>
      </c>
      <c r="M753" s="23" t="s">
        <v>211</v>
      </c>
      <c r="N753" s="122" t="s">
        <v>218</v>
      </c>
      <c r="O753" s="23"/>
      <c r="P753" s="132" t="s">
        <v>218</v>
      </c>
      <c r="Q753" s="23"/>
      <c r="R753" s="23" t="s">
        <v>1622</v>
      </c>
      <c r="S753" s="23"/>
      <c r="T753" s="23"/>
      <c r="U753" s="354">
        <v>4470.8500000000004</v>
      </c>
      <c r="V753" s="24">
        <v>4913.6499999999996</v>
      </c>
      <c r="W753" s="24">
        <f>280.96+334.21+339.69</f>
        <v>954.8599999999999</v>
      </c>
      <c r="X753" s="133" t="s">
        <v>207</v>
      </c>
      <c r="Y753" s="12">
        <f>239.48+277.1+284.41</f>
        <v>800.99</v>
      </c>
      <c r="Z753" s="133" t="s">
        <v>207</v>
      </c>
      <c r="AA753" s="12">
        <v>795.2</v>
      </c>
      <c r="AB753" s="133" t="s">
        <v>207</v>
      </c>
      <c r="AC753" s="12">
        <v>604.25</v>
      </c>
      <c r="AD753" s="131" t="s">
        <v>207</v>
      </c>
      <c r="AE753" s="12">
        <v>223.24</v>
      </c>
      <c r="AF753" s="131" t="s">
        <v>207</v>
      </c>
      <c r="AG753" s="325">
        <v>0</v>
      </c>
      <c r="AH753" s="328"/>
      <c r="AI753" s="325">
        <v>0</v>
      </c>
      <c r="AJ753" s="328"/>
      <c r="AK753" s="325">
        <v>0</v>
      </c>
      <c r="AL753" s="328"/>
      <c r="AM753" s="325">
        <v>0</v>
      </c>
      <c r="AN753" s="328"/>
      <c r="AO753" s="12">
        <v>396.53</v>
      </c>
      <c r="AP753" s="131" t="s">
        <v>207</v>
      </c>
      <c r="AQ753" s="12">
        <v>504.08</v>
      </c>
      <c r="AR753" s="131" t="s">
        <v>207</v>
      </c>
      <c r="AS753" s="12">
        <v>619.54999999999995</v>
      </c>
      <c r="AT753" s="131" t="s">
        <v>207</v>
      </c>
      <c r="AU753" s="11">
        <f t="shared" si="33"/>
        <v>4898.7</v>
      </c>
      <c r="AV753" s="329" t="s">
        <v>1707</v>
      </c>
      <c r="AW753" s="23" t="s">
        <v>211</v>
      </c>
      <c r="AX753" s="23" t="s">
        <v>208</v>
      </c>
      <c r="AY753" s="24">
        <v>3</v>
      </c>
      <c r="AZ753" s="24"/>
    </row>
    <row r="754" spans="1:52" ht="15" customHeight="1" x14ac:dyDescent="0.3">
      <c r="A754" s="114">
        <v>743</v>
      </c>
      <c r="B754" s="174" t="s">
        <v>1586</v>
      </c>
      <c r="C754" s="11" t="s">
        <v>1619</v>
      </c>
      <c r="D754" s="11" t="s">
        <v>288</v>
      </c>
      <c r="E754" s="29" t="s">
        <v>205</v>
      </c>
      <c r="F754" s="11" t="s">
        <v>1620</v>
      </c>
      <c r="G754" s="25" t="s">
        <v>145</v>
      </c>
      <c r="H754" s="23" t="s">
        <v>146</v>
      </c>
      <c r="I754" s="24">
        <v>2</v>
      </c>
      <c r="J754" s="23" t="s">
        <v>205</v>
      </c>
      <c r="K754" s="23">
        <v>100</v>
      </c>
      <c r="L754" s="23" t="s">
        <v>1621</v>
      </c>
      <c r="M754" s="23" t="s">
        <v>211</v>
      </c>
      <c r="N754" s="122" t="s">
        <v>218</v>
      </c>
      <c r="O754" s="23"/>
      <c r="P754" s="132" t="s">
        <v>218</v>
      </c>
      <c r="Q754" s="23"/>
      <c r="R754" s="23" t="s">
        <v>1622</v>
      </c>
      <c r="S754" s="23"/>
      <c r="T754" s="23"/>
      <c r="U754" s="354">
        <v>2496.7199999999998</v>
      </c>
      <c r="V754" s="24">
        <v>3101.1</v>
      </c>
      <c r="W754" s="24">
        <f>359.9+294.49</f>
        <v>654.39</v>
      </c>
      <c r="X754" s="133" t="s">
        <v>207</v>
      </c>
      <c r="Y754" s="12">
        <v>619.5</v>
      </c>
      <c r="Z754" s="133" t="s">
        <v>207</v>
      </c>
      <c r="AA754" s="12">
        <v>648.5</v>
      </c>
      <c r="AB754" s="133" t="s">
        <v>207</v>
      </c>
      <c r="AC754" s="12">
        <v>503.26</v>
      </c>
      <c r="AD754" s="131" t="s">
        <v>207</v>
      </c>
      <c r="AE754" s="12">
        <v>163.578</v>
      </c>
      <c r="AF754" s="131" t="s">
        <v>207</v>
      </c>
      <c r="AG754" s="325">
        <v>0</v>
      </c>
      <c r="AH754" s="328"/>
      <c r="AI754" s="325">
        <v>0</v>
      </c>
      <c r="AJ754" s="328"/>
      <c r="AK754" s="325">
        <v>0</v>
      </c>
      <c r="AL754" s="328"/>
      <c r="AM754" s="325">
        <v>0</v>
      </c>
      <c r="AN754" s="328"/>
      <c r="AO754" s="12">
        <v>289.08</v>
      </c>
      <c r="AP754" s="131" t="s">
        <v>207</v>
      </c>
      <c r="AQ754" s="12">
        <v>344.74</v>
      </c>
      <c r="AR754" s="131" t="s">
        <v>207</v>
      </c>
      <c r="AS754" s="12">
        <v>410.39</v>
      </c>
      <c r="AT754" s="131" t="s">
        <v>207</v>
      </c>
      <c r="AU754" s="11">
        <f t="shared" si="33"/>
        <v>3633.4379999999996</v>
      </c>
      <c r="AV754" s="329" t="s">
        <v>1708</v>
      </c>
      <c r="AW754" s="23" t="s">
        <v>211</v>
      </c>
      <c r="AX754" s="23" t="s">
        <v>208</v>
      </c>
      <c r="AY754" s="24">
        <v>2</v>
      </c>
      <c r="AZ754" s="24"/>
    </row>
    <row r="755" spans="1:52" ht="15" customHeight="1" thickBot="1" x14ac:dyDescent="0.35">
      <c r="A755" s="114">
        <v>744</v>
      </c>
      <c r="B755" s="174" t="s">
        <v>1587</v>
      </c>
      <c r="C755" s="306" t="s">
        <v>1619</v>
      </c>
      <c r="D755" s="306" t="s">
        <v>288</v>
      </c>
      <c r="E755" s="29" t="s">
        <v>205</v>
      </c>
      <c r="F755" s="306" t="s">
        <v>1620</v>
      </c>
      <c r="G755" s="332" t="s">
        <v>145</v>
      </c>
      <c r="H755" s="319" t="s">
        <v>146</v>
      </c>
      <c r="I755" s="333">
        <v>3</v>
      </c>
      <c r="J755" s="23" t="s">
        <v>205</v>
      </c>
      <c r="K755" s="23">
        <v>100</v>
      </c>
      <c r="L755" s="23" t="s">
        <v>1621</v>
      </c>
      <c r="M755" s="23" t="s">
        <v>211</v>
      </c>
      <c r="N755" s="334" t="s">
        <v>218</v>
      </c>
      <c r="O755" s="319"/>
      <c r="P755" s="132" t="s">
        <v>218</v>
      </c>
      <c r="Q755" s="319"/>
      <c r="R755" s="23" t="s">
        <v>1622</v>
      </c>
      <c r="S755" s="319"/>
      <c r="T755" s="319"/>
      <c r="U755" s="355">
        <v>4003.54</v>
      </c>
      <c r="V755" s="24">
        <v>4219.87</v>
      </c>
      <c r="W755" s="333">
        <f>269.55+324.55+159.7</f>
        <v>753.8</v>
      </c>
      <c r="X755" s="133" t="s">
        <v>207</v>
      </c>
      <c r="Y755" s="335">
        <f>224.99+274.47+146.62</f>
        <v>646.08000000000004</v>
      </c>
      <c r="Z755" s="133" t="s">
        <v>207</v>
      </c>
      <c r="AA755" s="335">
        <f>211.67+264.08+133.77</f>
        <v>609.52</v>
      </c>
      <c r="AB755" s="133" t="s">
        <v>207</v>
      </c>
      <c r="AC755" s="335">
        <f>183.58+230.2+113</f>
        <v>526.78</v>
      </c>
      <c r="AD755" s="131" t="s">
        <v>207</v>
      </c>
      <c r="AE755" s="335">
        <v>202.03</v>
      </c>
      <c r="AF755" s="131" t="s">
        <v>207</v>
      </c>
      <c r="AG755" s="325">
        <v>0</v>
      </c>
      <c r="AH755" s="336"/>
      <c r="AI755" s="325">
        <v>0</v>
      </c>
      <c r="AJ755" s="336"/>
      <c r="AK755" s="325">
        <v>0</v>
      </c>
      <c r="AL755" s="336"/>
      <c r="AM755" s="325">
        <v>0</v>
      </c>
      <c r="AN755" s="336"/>
      <c r="AO755" s="335">
        <v>307.66000000000003</v>
      </c>
      <c r="AP755" s="131" t="s">
        <v>207</v>
      </c>
      <c r="AQ755" s="335">
        <v>408.91</v>
      </c>
      <c r="AR755" s="131" t="s">
        <v>207</v>
      </c>
      <c r="AS755" s="335">
        <v>493.35</v>
      </c>
      <c r="AT755" s="131" t="s">
        <v>207</v>
      </c>
      <c r="AU755" s="11">
        <f t="shared" si="33"/>
        <v>3948.13</v>
      </c>
      <c r="AV755" s="337" t="s">
        <v>1709</v>
      </c>
      <c r="AW755" s="23" t="s">
        <v>211</v>
      </c>
      <c r="AX755" s="23" t="s">
        <v>208</v>
      </c>
      <c r="AY755" s="333">
        <v>3</v>
      </c>
      <c r="AZ755" s="333"/>
    </row>
    <row r="756" spans="1:52" ht="15" customHeight="1" thickBot="1" x14ac:dyDescent="0.35">
      <c r="A756" s="114">
        <v>745</v>
      </c>
      <c r="B756" s="174" t="s">
        <v>1588</v>
      </c>
      <c r="C756" s="338" t="s">
        <v>1619</v>
      </c>
      <c r="D756" s="338" t="s">
        <v>288</v>
      </c>
      <c r="E756" s="29" t="s">
        <v>205</v>
      </c>
      <c r="F756" s="339" t="s">
        <v>247</v>
      </c>
      <c r="G756" s="340" t="s">
        <v>145</v>
      </c>
      <c r="H756" s="341" t="s">
        <v>146</v>
      </c>
      <c r="I756" s="342">
        <v>1</v>
      </c>
      <c r="J756" s="23" t="s">
        <v>205</v>
      </c>
      <c r="K756" s="23">
        <v>100</v>
      </c>
      <c r="L756" s="23" t="s">
        <v>1621</v>
      </c>
      <c r="M756" s="23" t="s">
        <v>211</v>
      </c>
      <c r="N756" s="343" t="s">
        <v>218</v>
      </c>
      <c r="O756" s="341"/>
      <c r="P756" s="132" t="s">
        <v>218</v>
      </c>
      <c r="Q756" s="341"/>
      <c r="R756" s="23" t="s">
        <v>1622</v>
      </c>
      <c r="S756" s="341"/>
      <c r="T756" s="341"/>
      <c r="U756" s="356">
        <v>1167.17</v>
      </c>
      <c r="V756" s="333">
        <v>1300.4000000000001</v>
      </c>
      <c r="W756" s="342">
        <v>235.8</v>
      </c>
      <c r="X756" s="133" t="s">
        <v>207</v>
      </c>
      <c r="Y756" s="339">
        <v>206.69</v>
      </c>
      <c r="Z756" s="133" t="s">
        <v>207</v>
      </c>
      <c r="AA756" s="339">
        <v>201.39</v>
      </c>
      <c r="AB756" s="133" t="s">
        <v>207</v>
      </c>
      <c r="AC756" s="339">
        <v>174.2</v>
      </c>
      <c r="AD756" s="131" t="s">
        <v>207</v>
      </c>
      <c r="AE756" s="339">
        <v>73.790000000000006</v>
      </c>
      <c r="AF756" s="131" t="s">
        <v>207</v>
      </c>
      <c r="AG756" s="325">
        <v>0</v>
      </c>
      <c r="AH756" s="344"/>
      <c r="AI756" s="325">
        <v>0</v>
      </c>
      <c r="AJ756" s="344"/>
      <c r="AK756" s="325">
        <v>0</v>
      </c>
      <c r="AL756" s="344"/>
      <c r="AM756" s="325">
        <v>0</v>
      </c>
      <c r="AN756" s="344"/>
      <c r="AO756" s="339">
        <v>96.72</v>
      </c>
      <c r="AP756" s="131" t="s">
        <v>207</v>
      </c>
      <c r="AQ756" s="339">
        <v>128.58000000000001</v>
      </c>
      <c r="AR756" s="131" t="s">
        <v>207</v>
      </c>
      <c r="AS756" s="339">
        <v>175.41</v>
      </c>
      <c r="AT756" s="131" t="s">
        <v>207</v>
      </c>
      <c r="AU756" s="11">
        <f t="shared" si="33"/>
        <v>1292.58</v>
      </c>
      <c r="AV756" s="345" t="s">
        <v>1699</v>
      </c>
      <c r="AW756" s="23" t="s">
        <v>211</v>
      </c>
      <c r="AX756" s="23" t="s">
        <v>208</v>
      </c>
      <c r="AY756" s="342">
        <v>1</v>
      </c>
      <c r="AZ756" s="346"/>
    </row>
    <row r="757" spans="1:52" ht="15" customHeight="1" x14ac:dyDescent="0.3">
      <c r="A757" s="114">
        <v>746</v>
      </c>
      <c r="B757" s="174" t="s">
        <v>1589</v>
      </c>
      <c r="C757" s="307" t="s">
        <v>1619</v>
      </c>
      <c r="D757" s="307" t="s">
        <v>288</v>
      </c>
      <c r="E757" s="29" t="s">
        <v>205</v>
      </c>
      <c r="F757" s="347" t="s">
        <v>247</v>
      </c>
      <c r="G757" s="348" t="s">
        <v>145</v>
      </c>
      <c r="H757" s="349" t="s">
        <v>146</v>
      </c>
      <c r="I757" s="350">
        <v>2</v>
      </c>
      <c r="J757" s="23" t="s">
        <v>205</v>
      </c>
      <c r="K757" s="23">
        <v>100</v>
      </c>
      <c r="L757" s="23" t="s">
        <v>1621</v>
      </c>
      <c r="M757" s="23" t="s">
        <v>211</v>
      </c>
      <c r="N757" s="351" t="s">
        <v>218</v>
      </c>
      <c r="O757" s="349"/>
      <c r="P757" s="132" t="s">
        <v>218</v>
      </c>
      <c r="Q757" s="349"/>
      <c r="R757" s="23" t="s">
        <v>1622</v>
      </c>
      <c r="S757" s="349"/>
      <c r="T757" s="349"/>
      <c r="U757" s="357">
        <v>3198.5</v>
      </c>
      <c r="V757" s="24">
        <v>3288.54</v>
      </c>
      <c r="W757" s="350">
        <f>324.273</f>
        <v>324.27300000000002</v>
      </c>
      <c r="X757" s="133" t="s">
        <v>207</v>
      </c>
      <c r="Y757" s="347">
        <f>273.97+308.77</f>
        <v>582.74</v>
      </c>
      <c r="Z757" s="133" t="s">
        <v>207</v>
      </c>
      <c r="AA757" s="347">
        <f>253.2+293.63</f>
        <v>546.82999999999993</v>
      </c>
      <c r="AB757" s="133" t="s">
        <v>207</v>
      </c>
      <c r="AC757" s="347">
        <v>449.5</v>
      </c>
      <c r="AD757" s="131" t="s">
        <v>207</v>
      </c>
      <c r="AE757" s="347">
        <v>162.32400000000001</v>
      </c>
      <c r="AF757" s="131" t="s">
        <v>207</v>
      </c>
      <c r="AG757" s="325">
        <v>0</v>
      </c>
      <c r="AH757" s="352"/>
      <c r="AI757" s="325">
        <v>0</v>
      </c>
      <c r="AJ757" s="352"/>
      <c r="AK757" s="325">
        <v>0</v>
      </c>
      <c r="AL757" s="352"/>
      <c r="AM757" s="325">
        <v>0</v>
      </c>
      <c r="AN757" s="352"/>
      <c r="AO757" s="347">
        <v>229.27</v>
      </c>
      <c r="AP757" s="131" t="s">
        <v>207</v>
      </c>
      <c r="AQ757" s="347">
        <v>335.31200000000001</v>
      </c>
      <c r="AR757" s="131" t="s">
        <v>207</v>
      </c>
      <c r="AS757" s="347">
        <v>440.65</v>
      </c>
      <c r="AT757" s="131" t="s">
        <v>207</v>
      </c>
      <c r="AU757" s="11">
        <f t="shared" si="33"/>
        <v>3070.8989999999999</v>
      </c>
      <c r="AV757" s="353" t="s">
        <v>1710</v>
      </c>
      <c r="AW757" s="23" t="s">
        <v>211</v>
      </c>
      <c r="AX757" s="23" t="s">
        <v>208</v>
      </c>
      <c r="AY757" s="350">
        <v>2</v>
      </c>
      <c r="AZ757" s="350"/>
    </row>
    <row r="758" spans="1:52" ht="15" customHeight="1" x14ac:dyDescent="0.3">
      <c r="A758" s="114">
        <v>747</v>
      </c>
      <c r="B758" s="174" t="s">
        <v>1590</v>
      </c>
      <c r="C758" s="11" t="s">
        <v>1619</v>
      </c>
      <c r="D758" s="11" t="s">
        <v>288</v>
      </c>
      <c r="E758" s="29" t="s">
        <v>205</v>
      </c>
      <c r="F758" s="12" t="s">
        <v>247</v>
      </c>
      <c r="G758" s="25" t="s">
        <v>145</v>
      </c>
      <c r="H758" s="23" t="s">
        <v>146</v>
      </c>
      <c r="I758" s="24">
        <v>1</v>
      </c>
      <c r="J758" s="23" t="s">
        <v>205</v>
      </c>
      <c r="K758" s="23">
        <v>100</v>
      </c>
      <c r="L758" s="23" t="s">
        <v>1621</v>
      </c>
      <c r="M758" s="23" t="s">
        <v>211</v>
      </c>
      <c r="N758" s="122" t="s">
        <v>218</v>
      </c>
      <c r="O758" s="23"/>
      <c r="P758" s="132" t="s">
        <v>218</v>
      </c>
      <c r="Q758" s="23"/>
      <c r="R758" s="23" t="s">
        <v>1622</v>
      </c>
      <c r="S758" s="23"/>
      <c r="T758" s="23"/>
      <c r="U758" s="354">
        <v>1166.26</v>
      </c>
      <c r="V758" s="350">
        <v>1212.97</v>
      </c>
      <c r="W758" s="24">
        <v>233.66</v>
      </c>
      <c r="X758" s="133" t="s">
        <v>207</v>
      </c>
      <c r="Y758" s="12">
        <v>240.01</v>
      </c>
      <c r="Z758" s="133" t="s">
        <v>207</v>
      </c>
      <c r="AA758" s="12">
        <v>223.67099999999999</v>
      </c>
      <c r="AB758" s="133" t="s">
        <v>207</v>
      </c>
      <c r="AC758" s="12">
        <v>189.01</v>
      </c>
      <c r="AD758" s="131" t="s">
        <v>207</v>
      </c>
      <c r="AE758" s="12">
        <v>72.183999999999997</v>
      </c>
      <c r="AF758" s="131" t="s">
        <v>207</v>
      </c>
      <c r="AG758" s="325">
        <v>0</v>
      </c>
      <c r="AH758" s="328"/>
      <c r="AI758" s="325">
        <v>0</v>
      </c>
      <c r="AJ758" s="328"/>
      <c r="AK758" s="325">
        <v>0</v>
      </c>
      <c r="AL758" s="328"/>
      <c r="AM758" s="325">
        <v>0</v>
      </c>
      <c r="AN758" s="328"/>
      <c r="AO758" s="12">
        <v>96.12</v>
      </c>
      <c r="AP758" s="131" t="s">
        <v>207</v>
      </c>
      <c r="AQ758" s="12">
        <v>144.94999999999999</v>
      </c>
      <c r="AR758" s="131" t="s">
        <v>207</v>
      </c>
      <c r="AS758" s="12">
        <v>179.79</v>
      </c>
      <c r="AT758" s="131" t="s">
        <v>207</v>
      </c>
      <c r="AU758" s="11">
        <f t="shared" si="33"/>
        <v>1379.3949999999998</v>
      </c>
      <c r="AV758" s="329" t="s">
        <v>1711</v>
      </c>
      <c r="AW758" s="23" t="s">
        <v>211</v>
      </c>
      <c r="AX758" s="23" t="s">
        <v>208</v>
      </c>
      <c r="AY758" s="24">
        <v>1</v>
      </c>
      <c r="AZ758" s="24"/>
    </row>
    <row r="759" spans="1:52" ht="15" customHeight="1" x14ac:dyDescent="0.3">
      <c r="A759" s="114">
        <v>748</v>
      </c>
      <c r="B759" s="174" t="s">
        <v>1591</v>
      </c>
      <c r="C759" s="11" t="s">
        <v>1619</v>
      </c>
      <c r="D759" s="11" t="s">
        <v>288</v>
      </c>
      <c r="E759" s="29" t="s">
        <v>205</v>
      </c>
      <c r="F759" s="12" t="s">
        <v>247</v>
      </c>
      <c r="G759" s="25" t="s">
        <v>145</v>
      </c>
      <c r="H759" s="23" t="s">
        <v>146</v>
      </c>
      <c r="I759" s="24">
        <v>1</v>
      </c>
      <c r="J759" s="23" t="s">
        <v>205</v>
      </c>
      <c r="K759" s="23">
        <v>100</v>
      </c>
      <c r="L759" s="23" t="s">
        <v>1621</v>
      </c>
      <c r="M759" s="23" t="s">
        <v>211</v>
      </c>
      <c r="N759" s="122" t="s">
        <v>218</v>
      </c>
      <c r="O759" s="23"/>
      <c r="P759" s="132" t="s">
        <v>218</v>
      </c>
      <c r="Q759" s="23"/>
      <c r="R759" s="23" t="s">
        <v>1622</v>
      </c>
      <c r="S759" s="23"/>
      <c r="T759" s="23"/>
      <c r="U759" s="354">
        <v>1165.1199999999999</v>
      </c>
      <c r="V759" s="24">
        <v>1340.51</v>
      </c>
      <c r="W759" s="24">
        <v>261.2</v>
      </c>
      <c r="X759" s="133" t="s">
        <v>207</v>
      </c>
      <c r="Y759" s="12">
        <v>228.44</v>
      </c>
      <c r="Z759" s="133" t="s">
        <v>207</v>
      </c>
      <c r="AA759" s="12">
        <v>217.27</v>
      </c>
      <c r="AB759" s="133" t="s">
        <v>207</v>
      </c>
      <c r="AC759" s="12">
        <v>179.67</v>
      </c>
      <c r="AD759" s="131" t="s">
        <v>207</v>
      </c>
      <c r="AE759" s="12">
        <v>60.75</v>
      </c>
      <c r="AF759" s="131" t="s">
        <v>207</v>
      </c>
      <c r="AG759" s="325">
        <v>0</v>
      </c>
      <c r="AH759" s="328"/>
      <c r="AI759" s="325">
        <v>0</v>
      </c>
      <c r="AJ759" s="328"/>
      <c r="AK759" s="325">
        <v>0</v>
      </c>
      <c r="AL759" s="328"/>
      <c r="AM759" s="325">
        <v>0</v>
      </c>
      <c r="AN759" s="328"/>
      <c r="AO759" s="12">
        <v>104.15</v>
      </c>
      <c r="AP759" s="131" t="s">
        <v>207</v>
      </c>
      <c r="AQ759" s="12">
        <v>121.26</v>
      </c>
      <c r="AR759" s="131" t="s">
        <v>207</v>
      </c>
      <c r="AS759" s="12">
        <v>175.6</v>
      </c>
      <c r="AT759" s="131" t="s">
        <v>207</v>
      </c>
      <c r="AU759" s="11">
        <f t="shared" si="33"/>
        <v>1348.34</v>
      </c>
      <c r="AV759" s="329" t="s">
        <v>1712</v>
      </c>
      <c r="AW759" s="23" t="s">
        <v>211</v>
      </c>
      <c r="AX759" s="23" t="s">
        <v>208</v>
      </c>
      <c r="AY759" s="24">
        <v>1</v>
      </c>
      <c r="AZ759" s="24"/>
    </row>
    <row r="760" spans="1:52" ht="15" customHeight="1" x14ac:dyDescent="0.3">
      <c r="A760" s="114">
        <v>749</v>
      </c>
      <c r="B760" s="174" t="s">
        <v>1592</v>
      </c>
      <c r="C760" s="11" t="s">
        <v>1619</v>
      </c>
      <c r="D760" s="11" t="s">
        <v>288</v>
      </c>
      <c r="E760" s="29" t="s">
        <v>205</v>
      </c>
      <c r="F760" s="12" t="s">
        <v>247</v>
      </c>
      <c r="G760" s="25" t="s">
        <v>145</v>
      </c>
      <c r="H760" s="23" t="s">
        <v>146</v>
      </c>
      <c r="I760" s="24">
        <v>1</v>
      </c>
      <c r="J760" s="23" t="s">
        <v>205</v>
      </c>
      <c r="K760" s="23">
        <v>100</v>
      </c>
      <c r="L760" s="23" t="s">
        <v>1621</v>
      </c>
      <c r="M760" s="23" t="s">
        <v>211</v>
      </c>
      <c r="N760" s="122" t="s">
        <v>218</v>
      </c>
      <c r="O760" s="23"/>
      <c r="P760" s="132" t="s">
        <v>218</v>
      </c>
      <c r="Q760" s="23"/>
      <c r="R760" s="23" t="s">
        <v>1622</v>
      </c>
      <c r="S760" s="23"/>
      <c r="T760" s="23"/>
      <c r="U760" s="354">
        <v>3189.98</v>
      </c>
      <c r="V760" s="24">
        <v>3352.2</v>
      </c>
      <c r="W760" s="24">
        <v>587.69000000000005</v>
      </c>
      <c r="X760" s="133" t="s">
        <v>207</v>
      </c>
      <c r="Y760" s="12">
        <v>536.78</v>
      </c>
      <c r="Z760" s="133" t="s">
        <v>207</v>
      </c>
      <c r="AA760" s="12">
        <v>475.1</v>
      </c>
      <c r="AB760" s="133" t="s">
        <v>207</v>
      </c>
      <c r="AC760" s="12">
        <v>427.71</v>
      </c>
      <c r="AD760" s="131" t="s">
        <v>207</v>
      </c>
      <c r="AE760" s="12">
        <v>124.21</v>
      </c>
      <c r="AF760" s="131" t="s">
        <v>207</v>
      </c>
      <c r="AG760" s="325">
        <v>0</v>
      </c>
      <c r="AH760" s="328"/>
      <c r="AI760" s="325">
        <v>0</v>
      </c>
      <c r="AJ760" s="328"/>
      <c r="AK760" s="325">
        <v>0</v>
      </c>
      <c r="AL760" s="328"/>
      <c r="AM760" s="325">
        <v>0</v>
      </c>
      <c r="AN760" s="328"/>
      <c r="AO760" s="12">
        <v>189.56</v>
      </c>
      <c r="AP760" s="131" t="s">
        <v>207</v>
      </c>
      <c r="AQ760" s="12">
        <v>319.08999999999997</v>
      </c>
      <c r="AR760" s="131" t="s">
        <v>207</v>
      </c>
      <c r="AS760" s="12">
        <v>400.19</v>
      </c>
      <c r="AT760" s="131" t="s">
        <v>207</v>
      </c>
      <c r="AU760" s="11">
        <f t="shared" si="33"/>
        <v>3060.3300000000004</v>
      </c>
      <c r="AV760" s="329" t="s">
        <v>1713</v>
      </c>
      <c r="AW760" s="23" t="s">
        <v>211</v>
      </c>
      <c r="AX760" s="23" t="s">
        <v>208</v>
      </c>
      <c r="AY760" s="24">
        <v>1</v>
      </c>
      <c r="AZ760" s="24"/>
    </row>
    <row r="761" spans="1:52" ht="15" customHeight="1" x14ac:dyDescent="0.3">
      <c r="A761" s="114">
        <v>750</v>
      </c>
      <c r="B761" s="174" t="s">
        <v>1593</v>
      </c>
      <c r="C761" s="11" t="s">
        <v>1619</v>
      </c>
      <c r="D761" s="11" t="s">
        <v>288</v>
      </c>
      <c r="E761" s="29" t="s">
        <v>205</v>
      </c>
      <c r="F761" s="12" t="s">
        <v>247</v>
      </c>
      <c r="G761" s="25" t="s">
        <v>145</v>
      </c>
      <c r="H761" s="23" t="s">
        <v>146</v>
      </c>
      <c r="I761" s="24">
        <v>2</v>
      </c>
      <c r="J761" s="23" t="s">
        <v>205</v>
      </c>
      <c r="K761" s="23">
        <v>100</v>
      </c>
      <c r="L761" s="23" t="s">
        <v>1621</v>
      </c>
      <c r="M761" s="23" t="s">
        <v>211</v>
      </c>
      <c r="N761" s="122" t="s">
        <v>218</v>
      </c>
      <c r="O761" s="23"/>
      <c r="P761" s="132" t="s">
        <v>218</v>
      </c>
      <c r="Q761" s="23"/>
      <c r="R761" s="23" t="s">
        <v>1622</v>
      </c>
      <c r="S761" s="23"/>
      <c r="T761" s="23"/>
      <c r="U761" s="354">
        <v>2612.31</v>
      </c>
      <c r="V761" s="24">
        <v>2945.15</v>
      </c>
      <c r="W761" s="24">
        <f>301.03+217.86</f>
        <v>518.89</v>
      </c>
      <c r="X761" s="133" t="s">
        <v>207</v>
      </c>
      <c r="Y761" s="12">
        <f>265.91+193.03</f>
        <v>458.94000000000005</v>
      </c>
      <c r="Z761" s="133" t="s">
        <v>207</v>
      </c>
      <c r="AA761" s="12">
        <f>256.53+180.77</f>
        <v>437.29999999999995</v>
      </c>
      <c r="AB761" s="133" t="s">
        <v>207</v>
      </c>
      <c r="AC761" s="12">
        <f>225.98+140.39</f>
        <v>366.37</v>
      </c>
      <c r="AD761" s="131" t="s">
        <v>207</v>
      </c>
      <c r="AE761" s="12">
        <v>136.21</v>
      </c>
      <c r="AF761" s="131" t="s">
        <v>207</v>
      </c>
      <c r="AG761" s="325">
        <v>0</v>
      </c>
      <c r="AH761" s="328"/>
      <c r="AI761" s="325">
        <v>0</v>
      </c>
      <c r="AJ761" s="328"/>
      <c r="AK761" s="325">
        <v>0</v>
      </c>
      <c r="AL761" s="328"/>
      <c r="AM761" s="325">
        <v>0</v>
      </c>
      <c r="AN761" s="328"/>
      <c r="AO761" s="12">
        <v>202.24</v>
      </c>
      <c r="AP761" s="131" t="s">
        <v>207</v>
      </c>
      <c r="AQ761" s="12">
        <v>294.39999999999998</v>
      </c>
      <c r="AR761" s="131" t="s">
        <v>207</v>
      </c>
      <c r="AS761" s="12">
        <v>352.57</v>
      </c>
      <c r="AT761" s="131" t="s">
        <v>207</v>
      </c>
      <c r="AU761" s="11">
        <f t="shared" si="33"/>
        <v>2766.92</v>
      </c>
      <c r="AV761" s="329" t="s">
        <v>1714</v>
      </c>
      <c r="AW761" s="23" t="s">
        <v>211</v>
      </c>
      <c r="AX761" s="23" t="s">
        <v>208</v>
      </c>
      <c r="AY761" s="24">
        <v>2</v>
      </c>
      <c r="AZ761" s="24"/>
    </row>
    <row r="762" spans="1:52" ht="15" customHeight="1" x14ac:dyDescent="0.3">
      <c r="A762" s="114">
        <v>751</v>
      </c>
      <c r="B762" s="174" t="s">
        <v>1594</v>
      </c>
      <c r="C762" s="11" t="s">
        <v>1619</v>
      </c>
      <c r="D762" s="11" t="s">
        <v>288</v>
      </c>
      <c r="E762" s="29" t="s">
        <v>205</v>
      </c>
      <c r="F762" s="12" t="s">
        <v>247</v>
      </c>
      <c r="G762" s="25" t="s">
        <v>145</v>
      </c>
      <c r="H762" s="23" t="s">
        <v>146</v>
      </c>
      <c r="I762" s="24">
        <v>1</v>
      </c>
      <c r="J762" s="23" t="s">
        <v>205</v>
      </c>
      <c r="K762" s="23">
        <v>80</v>
      </c>
      <c r="L762" s="23" t="s">
        <v>1621</v>
      </c>
      <c r="M762" s="23" t="s">
        <v>211</v>
      </c>
      <c r="N762" s="122" t="s">
        <v>218</v>
      </c>
      <c r="O762" s="23"/>
      <c r="P762" s="132" t="s">
        <v>218</v>
      </c>
      <c r="Q762" s="23"/>
      <c r="R762" s="23" t="s">
        <v>1622</v>
      </c>
      <c r="S762" s="23"/>
      <c r="T762" s="23"/>
      <c r="U762" s="354">
        <v>5105.13</v>
      </c>
      <c r="V762" s="24">
        <v>5876.82</v>
      </c>
      <c r="W762" s="24">
        <v>996.93</v>
      </c>
      <c r="X762" s="133" t="s">
        <v>207</v>
      </c>
      <c r="Y762" s="12">
        <v>886.4</v>
      </c>
      <c r="Z762" s="133" t="s">
        <v>207</v>
      </c>
      <c r="AA762" s="12">
        <v>968.89</v>
      </c>
      <c r="AB762" s="133" t="s">
        <v>207</v>
      </c>
      <c r="AC762" s="12">
        <v>597.35</v>
      </c>
      <c r="AD762" s="131" t="s">
        <v>207</v>
      </c>
      <c r="AE762" s="12">
        <v>161.78</v>
      </c>
      <c r="AF762" s="131" t="s">
        <v>207</v>
      </c>
      <c r="AG762" s="325">
        <v>0</v>
      </c>
      <c r="AH762" s="328"/>
      <c r="AI762" s="325">
        <v>0</v>
      </c>
      <c r="AJ762" s="328"/>
      <c r="AK762" s="325">
        <v>0</v>
      </c>
      <c r="AL762" s="328"/>
      <c r="AM762" s="325">
        <v>0</v>
      </c>
      <c r="AN762" s="328"/>
      <c r="AO762" s="12">
        <v>227.93</v>
      </c>
      <c r="AP762" s="131" t="s">
        <v>207</v>
      </c>
      <c r="AQ762" s="12">
        <v>357.25</v>
      </c>
      <c r="AR762" s="131" t="s">
        <v>207</v>
      </c>
      <c r="AS762" s="12">
        <v>560.51</v>
      </c>
      <c r="AT762" s="131" t="s">
        <v>207</v>
      </c>
      <c r="AU762" s="11">
        <f t="shared" si="33"/>
        <v>4757.04</v>
      </c>
      <c r="AV762" s="329" t="s">
        <v>1715</v>
      </c>
      <c r="AW762" s="23" t="s">
        <v>211</v>
      </c>
      <c r="AX762" s="23" t="s">
        <v>208</v>
      </c>
      <c r="AY762" s="24">
        <v>5</v>
      </c>
      <c r="AZ762" s="24"/>
    </row>
    <row r="763" spans="1:52" ht="15" customHeight="1" x14ac:dyDescent="0.3">
      <c r="A763" s="114">
        <v>752</v>
      </c>
      <c r="B763" s="174" t="s">
        <v>1595</v>
      </c>
      <c r="C763" s="11" t="s">
        <v>1619</v>
      </c>
      <c r="D763" s="11" t="s">
        <v>288</v>
      </c>
      <c r="E763" s="29" t="s">
        <v>205</v>
      </c>
      <c r="F763" s="12" t="s">
        <v>247</v>
      </c>
      <c r="G763" s="25" t="s">
        <v>145</v>
      </c>
      <c r="H763" s="23" t="s">
        <v>146</v>
      </c>
      <c r="I763" s="24">
        <v>1</v>
      </c>
      <c r="J763" s="23" t="s">
        <v>205</v>
      </c>
      <c r="K763" s="23">
        <v>80</v>
      </c>
      <c r="L763" s="23" t="s">
        <v>1621</v>
      </c>
      <c r="M763" s="23" t="s">
        <v>211</v>
      </c>
      <c r="N763" s="122" t="s">
        <v>218</v>
      </c>
      <c r="O763" s="23"/>
      <c r="P763" s="132" t="s">
        <v>218</v>
      </c>
      <c r="Q763" s="23"/>
      <c r="R763" s="23" t="s">
        <v>1622</v>
      </c>
      <c r="S763" s="23"/>
      <c r="T763" s="23"/>
      <c r="U763" s="354">
        <v>380.05</v>
      </c>
      <c r="V763" s="24">
        <v>456.29</v>
      </c>
      <c r="W763" s="24">
        <v>92.96</v>
      </c>
      <c r="X763" s="133" t="s">
        <v>207</v>
      </c>
      <c r="Y763" s="12">
        <v>81.48</v>
      </c>
      <c r="Z763" s="133" t="s">
        <v>207</v>
      </c>
      <c r="AA763" s="12">
        <v>79.06</v>
      </c>
      <c r="AB763" s="133" t="s">
        <v>207</v>
      </c>
      <c r="AC763" s="12">
        <v>62.96</v>
      </c>
      <c r="AD763" s="131" t="s">
        <v>207</v>
      </c>
      <c r="AE763" s="12">
        <v>23.195</v>
      </c>
      <c r="AF763" s="131" t="s">
        <v>207</v>
      </c>
      <c r="AG763" s="325">
        <v>0</v>
      </c>
      <c r="AH763" s="328"/>
      <c r="AI763" s="325">
        <v>0</v>
      </c>
      <c r="AJ763" s="328"/>
      <c r="AK763" s="325">
        <v>0</v>
      </c>
      <c r="AL763" s="328"/>
      <c r="AM763" s="325">
        <v>0</v>
      </c>
      <c r="AN763" s="328"/>
      <c r="AO763" s="12">
        <v>32.5</v>
      </c>
      <c r="AP763" s="131" t="s">
        <v>207</v>
      </c>
      <c r="AQ763" s="12">
        <v>45.89</v>
      </c>
      <c r="AR763" s="131" t="s">
        <v>207</v>
      </c>
      <c r="AS763" s="12">
        <v>59.46</v>
      </c>
      <c r="AT763" s="131" t="s">
        <v>207</v>
      </c>
      <c r="AU763" s="11">
        <f t="shared" si="33"/>
        <v>477.50499999999994</v>
      </c>
      <c r="AV763" s="329" t="s">
        <v>1716</v>
      </c>
      <c r="AW763" s="23" t="s">
        <v>211</v>
      </c>
      <c r="AX763" s="23" t="s">
        <v>208</v>
      </c>
      <c r="AY763" s="24">
        <v>1</v>
      </c>
      <c r="AZ763" s="24"/>
    </row>
    <row r="764" spans="1:52" ht="15" customHeight="1" x14ac:dyDescent="0.3">
      <c r="A764" s="114">
        <v>753</v>
      </c>
      <c r="B764" s="174" t="s">
        <v>1596</v>
      </c>
      <c r="C764" s="11" t="s">
        <v>1619</v>
      </c>
      <c r="D764" s="11" t="s">
        <v>288</v>
      </c>
      <c r="E764" s="29" t="s">
        <v>205</v>
      </c>
      <c r="F764" s="12" t="s">
        <v>247</v>
      </c>
      <c r="G764" s="25" t="s">
        <v>145</v>
      </c>
      <c r="H764" s="23" t="s">
        <v>146</v>
      </c>
      <c r="I764" s="24">
        <v>1</v>
      </c>
      <c r="J764" s="23" t="s">
        <v>205</v>
      </c>
      <c r="K764" s="23">
        <v>100</v>
      </c>
      <c r="L764" s="23" t="s">
        <v>1621</v>
      </c>
      <c r="M764" s="23" t="s">
        <v>211</v>
      </c>
      <c r="N764" s="122" t="s">
        <v>218</v>
      </c>
      <c r="O764" s="23"/>
      <c r="P764" s="132" t="s">
        <v>218</v>
      </c>
      <c r="Q764" s="23"/>
      <c r="R764" s="23" t="s">
        <v>1622</v>
      </c>
      <c r="S764" s="23"/>
      <c r="T764" s="23"/>
      <c r="U764" s="354">
        <v>1816.43</v>
      </c>
      <c r="V764" s="24">
        <v>2146.39</v>
      </c>
      <c r="W764" s="24">
        <v>429.3</v>
      </c>
      <c r="X764" s="133" t="s">
        <v>207</v>
      </c>
      <c r="Y764" s="12">
        <v>377.91</v>
      </c>
      <c r="Z764" s="133" t="s">
        <v>207</v>
      </c>
      <c r="AA764" s="12">
        <v>335.2</v>
      </c>
      <c r="AB764" s="133" t="s">
        <v>207</v>
      </c>
      <c r="AC764" s="12">
        <v>257.74</v>
      </c>
      <c r="AD764" s="131" t="s">
        <v>207</v>
      </c>
      <c r="AE764" s="12">
        <v>115.84</v>
      </c>
      <c r="AF764" s="131" t="s">
        <v>207</v>
      </c>
      <c r="AG764" s="325">
        <v>0</v>
      </c>
      <c r="AH764" s="328"/>
      <c r="AI764" s="325">
        <v>0</v>
      </c>
      <c r="AJ764" s="328"/>
      <c r="AK764" s="325">
        <v>0</v>
      </c>
      <c r="AL764" s="328"/>
      <c r="AM764" s="325">
        <v>0</v>
      </c>
      <c r="AN764" s="328"/>
      <c r="AO764" s="24">
        <v>175.13</v>
      </c>
      <c r="AP764" s="131" t="s">
        <v>207</v>
      </c>
      <c r="AQ764" s="12">
        <v>233.12</v>
      </c>
      <c r="AR764" s="131" t="s">
        <v>207</v>
      </c>
      <c r="AS764" s="12">
        <v>292.62</v>
      </c>
      <c r="AT764" s="131" t="s">
        <v>207</v>
      </c>
      <c r="AU764" s="11">
        <f t="shared" si="33"/>
        <v>2216.8599999999997</v>
      </c>
      <c r="AV764" s="329" t="s">
        <v>1717</v>
      </c>
      <c r="AW764" s="23" t="s">
        <v>211</v>
      </c>
      <c r="AX764" s="23" t="s">
        <v>208</v>
      </c>
      <c r="AY764" s="24">
        <v>1</v>
      </c>
      <c r="AZ764" s="24"/>
    </row>
    <row r="765" spans="1:52" ht="15" customHeight="1" x14ac:dyDescent="0.3">
      <c r="A765" s="114">
        <v>754</v>
      </c>
      <c r="B765" s="174" t="s">
        <v>1597</v>
      </c>
      <c r="C765" s="11" t="s">
        <v>1619</v>
      </c>
      <c r="D765" s="11" t="s">
        <v>288</v>
      </c>
      <c r="E765" s="29" t="s">
        <v>205</v>
      </c>
      <c r="F765" s="12" t="s">
        <v>247</v>
      </c>
      <c r="G765" s="25" t="s">
        <v>145</v>
      </c>
      <c r="H765" s="23" t="s">
        <v>146</v>
      </c>
      <c r="I765" s="24">
        <v>2</v>
      </c>
      <c r="J765" s="23" t="s">
        <v>205</v>
      </c>
      <c r="K765" s="23">
        <v>100</v>
      </c>
      <c r="L765" s="23" t="s">
        <v>1621</v>
      </c>
      <c r="M765" s="23" t="s">
        <v>211</v>
      </c>
      <c r="N765" s="122" t="s">
        <v>218</v>
      </c>
      <c r="O765" s="23"/>
      <c r="P765" s="132" t="s">
        <v>218</v>
      </c>
      <c r="Q765" s="23"/>
      <c r="R765" s="23" t="s">
        <v>1622</v>
      </c>
      <c r="S765" s="23"/>
      <c r="T765" s="23"/>
      <c r="U765" s="354">
        <v>3794.85</v>
      </c>
      <c r="V765" s="24">
        <v>4052.85</v>
      </c>
      <c r="W765" s="24">
        <f>326.93+355.79</f>
        <v>682.72</v>
      </c>
      <c r="X765" s="133" t="s">
        <v>207</v>
      </c>
      <c r="Y765" s="12">
        <f>283.31+277.98</f>
        <v>561.29</v>
      </c>
      <c r="Z765" s="133" t="s">
        <v>207</v>
      </c>
      <c r="AA765" s="12">
        <f>267.67+302.51</f>
        <v>570.18000000000006</v>
      </c>
      <c r="AB765" s="133" t="s">
        <v>207</v>
      </c>
      <c r="AC765" s="12">
        <v>461.7</v>
      </c>
      <c r="AD765" s="131" t="s">
        <v>207</v>
      </c>
      <c r="AE765" s="12">
        <v>213.21</v>
      </c>
      <c r="AF765" s="131" t="s">
        <v>207</v>
      </c>
      <c r="AG765" s="325">
        <v>0</v>
      </c>
      <c r="AH765" s="328"/>
      <c r="AI765" s="325">
        <v>0</v>
      </c>
      <c r="AJ765" s="328"/>
      <c r="AK765" s="325">
        <v>0</v>
      </c>
      <c r="AL765" s="328"/>
      <c r="AM765" s="325">
        <v>0</v>
      </c>
      <c r="AN765" s="328"/>
      <c r="AO765" s="12">
        <v>333.51</v>
      </c>
      <c r="AP765" s="131" t="s">
        <v>207</v>
      </c>
      <c r="AQ765" s="12">
        <v>443.65</v>
      </c>
      <c r="AR765" s="131" t="s">
        <v>207</v>
      </c>
      <c r="AS765" s="12">
        <v>531.30999999999995</v>
      </c>
      <c r="AT765" s="131" t="s">
        <v>207</v>
      </c>
      <c r="AU765" s="11">
        <f t="shared" si="33"/>
        <v>3797.5699999999997</v>
      </c>
      <c r="AV765" s="329" t="s">
        <v>1718</v>
      </c>
      <c r="AW765" s="23" t="s">
        <v>211</v>
      </c>
      <c r="AX765" s="23" t="s">
        <v>208</v>
      </c>
      <c r="AY765" s="24">
        <v>2</v>
      </c>
      <c r="AZ765" s="24"/>
    </row>
    <row r="766" spans="1:52" ht="15" customHeight="1" x14ac:dyDescent="0.3">
      <c r="A766" s="114">
        <v>755</v>
      </c>
      <c r="B766" s="174" t="s">
        <v>1598</v>
      </c>
      <c r="C766" s="11" t="s">
        <v>1619</v>
      </c>
      <c r="D766" s="11" t="s">
        <v>288</v>
      </c>
      <c r="E766" s="29" t="s">
        <v>205</v>
      </c>
      <c r="F766" s="12" t="s">
        <v>247</v>
      </c>
      <c r="G766" s="25" t="s">
        <v>145</v>
      </c>
      <c r="H766" s="23" t="s">
        <v>146</v>
      </c>
      <c r="I766" s="24">
        <v>2</v>
      </c>
      <c r="J766" s="23" t="s">
        <v>205</v>
      </c>
      <c r="K766" s="23">
        <v>100</v>
      </c>
      <c r="L766" s="23" t="s">
        <v>1621</v>
      </c>
      <c r="M766" s="23" t="s">
        <v>211</v>
      </c>
      <c r="N766" s="122" t="s">
        <v>218</v>
      </c>
      <c r="O766" s="23"/>
      <c r="P766" s="132" t="s">
        <v>218</v>
      </c>
      <c r="Q766" s="23"/>
      <c r="R766" s="23" t="s">
        <v>1622</v>
      </c>
      <c r="S766" s="23"/>
      <c r="T766" s="23"/>
      <c r="U766" s="354">
        <v>1854.4</v>
      </c>
      <c r="V766" s="24">
        <v>2114.98</v>
      </c>
      <c r="W766" s="24">
        <f>155.19+260.85</f>
        <v>416.04</v>
      </c>
      <c r="X766" s="133" t="s">
        <v>207</v>
      </c>
      <c r="Y766" s="12">
        <f>136.32+189.07</f>
        <v>325.39</v>
      </c>
      <c r="Z766" s="133" t="s">
        <v>207</v>
      </c>
      <c r="AA766" s="12">
        <f>126.3+206.08</f>
        <v>332.38</v>
      </c>
      <c r="AB766" s="133" t="s">
        <v>207</v>
      </c>
      <c r="AC766" s="12">
        <f>109+175</f>
        <v>284</v>
      </c>
      <c r="AD766" s="131" t="s">
        <v>207</v>
      </c>
      <c r="AE766" s="12">
        <v>99.56</v>
      </c>
      <c r="AF766" s="131" t="s">
        <v>207</v>
      </c>
      <c r="AG766" s="325">
        <v>0</v>
      </c>
      <c r="AH766" s="328"/>
      <c r="AI766" s="325">
        <v>0</v>
      </c>
      <c r="AJ766" s="328"/>
      <c r="AK766" s="325">
        <v>0</v>
      </c>
      <c r="AL766" s="328"/>
      <c r="AM766" s="325">
        <v>0</v>
      </c>
      <c r="AN766" s="328"/>
      <c r="AO766" s="12">
        <v>174.23</v>
      </c>
      <c r="AP766" s="131" t="s">
        <v>207</v>
      </c>
      <c r="AQ766" s="12">
        <v>239.18</v>
      </c>
      <c r="AR766" s="131" t="s">
        <v>207</v>
      </c>
      <c r="AS766" s="12">
        <v>298.55</v>
      </c>
      <c r="AT766" s="131" t="s">
        <v>207</v>
      </c>
      <c r="AU766" s="11">
        <f t="shared" si="33"/>
        <v>2169.33</v>
      </c>
      <c r="AV766" s="329" t="s">
        <v>1719</v>
      </c>
      <c r="AW766" s="23" t="s">
        <v>211</v>
      </c>
      <c r="AX766" s="23" t="s">
        <v>208</v>
      </c>
      <c r="AY766" s="24">
        <v>2</v>
      </c>
      <c r="AZ766" s="24"/>
    </row>
    <row r="767" spans="1:52" ht="15" customHeight="1" x14ac:dyDescent="0.3">
      <c r="A767" s="114">
        <v>756</v>
      </c>
      <c r="B767" s="174" t="s">
        <v>1599</v>
      </c>
      <c r="C767" s="11" t="s">
        <v>1619</v>
      </c>
      <c r="D767" s="11" t="s">
        <v>288</v>
      </c>
      <c r="E767" s="29" t="s">
        <v>205</v>
      </c>
      <c r="F767" s="12" t="s">
        <v>247</v>
      </c>
      <c r="G767" s="25" t="s">
        <v>145</v>
      </c>
      <c r="H767" s="23" t="s">
        <v>146</v>
      </c>
      <c r="I767" s="24">
        <v>2</v>
      </c>
      <c r="J767" s="23" t="s">
        <v>205</v>
      </c>
      <c r="K767" s="23">
        <v>100</v>
      </c>
      <c r="L767" s="23" t="s">
        <v>1621</v>
      </c>
      <c r="M767" s="23" t="s">
        <v>211</v>
      </c>
      <c r="N767" s="122" t="s">
        <v>218</v>
      </c>
      <c r="O767" s="23"/>
      <c r="P767" s="132" t="s">
        <v>218</v>
      </c>
      <c r="Q767" s="23"/>
      <c r="R767" s="23" t="s">
        <v>1622</v>
      </c>
      <c r="S767" s="23"/>
      <c r="T767" s="23"/>
      <c r="U767" s="354">
        <v>1823.9</v>
      </c>
      <c r="V767" s="24">
        <v>2205.64</v>
      </c>
      <c r="W767" s="24">
        <f>183.72+267.6</f>
        <v>451.32000000000005</v>
      </c>
      <c r="X767" s="133" t="s">
        <v>207</v>
      </c>
      <c r="Y767" s="12">
        <f>142.86+197.99</f>
        <v>340.85</v>
      </c>
      <c r="Z767" s="133" t="s">
        <v>207</v>
      </c>
      <c r="AA767" s="12">
        <f>126.76+204.29</f>
        <v>331.05</v>
      </c>
      <c r="AB767" s="133" t="s">
        <v>207</v>
      </c>
      <c r="AC767" s="12">
        <v>378.24</v>
      </c>
      <c r="AD767" s="131" t="s">
        <v>207</v>
      </c>
      <c r="AE767" s="12">
        <v>108.22</v>
      </c>
      <c r="AF767" s="131" t="s">
        <v>207</v>
      </c>
      <c r="AG767" s="325">
        <v>0</v>
      </c>
      <c r="AH767" s="328"/>
      <c r="AI767" s="325">
        <v>0</v>
      </c>
      <c r="AJ767" s="328"/>
      <c r="AK767" s="325">
        <v>0</v>
      </c>
      <c r="AL767" s="328"/>
      <c r="AM767" s="325">
        <v>0</v>
      </c>
      <c r="AN767" s="328"/>
      <c r="AO767" s="12">
        <v>182</v>
      </c>
      <c r="AP767" s="131" t="s">
        <v>207</v>
      </c>
      <c r="AQ767" s="12">
        <v>252.97</v>
      </c>
      <c r="AR767" s="131" t="s">
        <v>207</v>
      </c>
      <c r="AS767" s="12">
        <v>314.35000000000002</v>
      </c>
      <c r="AT767" s="131" t="s">
        <v>207</v>
      </c>
      <c r="AU767" s="11">
        <f t="shared" si="33"/>
        <v>2359</v>
      </c>
      <c r="AV767" s="329" t="s">
        <v>1720</v>
      </c>
      <c r="AW767" s="23" t="s">
        <v>211</v>
      </c>
      <c r="AX767" s="23" t="s">
        <v>208</v>
      </c>
      <c r="AY767" s="24">
        <v>2</v>
      </c>
      <c r="AZ767" s="24"/>
    </row>
    <row r="768" spans="1:52" ht="15" customHeight="1" x14ac:dyDescent="0.3">
      <c r="A768" s="114">
        <v>757</v>
      </c>
      <c r="B768" s="174" t="s">
        <v>1600</v>
      </c>
      <c r="C768" s="11" t="s">
        <v>1619</v>
      </c>
      <c r="D768" s="11" t="s">
        <v>288</v>
      </c>
      <c r="E768" s="29" t="s">
        <v>205</v>
      </c>
      <c r="F768" s="12" t="s">
        <v>247</v>
      </c>
      <c r="G768" s="25" t="s">
        <v>145</v>
      </c>
      <c r="H768" s="23" t="s">
        <v>146</v>
      </c>
      <c r="I768" s="24">
        <v>2</v>
      </c>
      <c r="J768" s="23" t="s">
        <v>205</v>
      </c>
      <c r="K768" s="23">
        <v>100</v>
      </c>
      <c r="L768" s="23" t="s">
        <v>1621</v>
      </c>
      <c r="M768" s="23" t="s">
        <v>211</v>
      </c>
      <c r="N768" s="122" t="s">
        <v>218</v>
      </c>
      <c r="O768" s="23"/>
      <c r="P768" s="132" t="s">
        <v>218</v>
      </c>
      <c r="Q768" s="23"/>
      <c r="R768" s="23" t="s">
        <v>1622</v>
      </c>
      <c r="S768" s="23"/>
      <c r="T768" s="23"/>
      <c r="U768" s="354">
        <v>1871.73</v>
      </c>
      <c r="V768" s="24">
        <v>2120.39</v>
      </c>
      <c r="W768" s="24">
        <f>158.37+243.44</f>
        <v>401.81</v>
      </c>
      <c r="X768" s="133" t="s">
        <v>207</v>
      </c>
      <c r="Y768" s="12">
        <f>140.16+214.42</f>
        <v>354.58</v>
      </c>
      <c r="Z768" s="133" t="s">
        <v>207</v>
      </c>
      <c r="AA768" s="12">
        <f>137.3+209.62</f>
        <v>346.92</v>
      </c>
      <c r="AB768" s="133" t="s">
        <v>207</v>
      </c>
      <c r="AC768" s="12">
        <v>278.60000000000002</v>
      </c>
      <c r="AD768" s="131" t="s">
        <v>207</v>
      </c>
      <c r="AE768" s="12">
        <v>102.01</v>
      </c>
      <c r="AF768" s="131" t="s">
        <v>207</v>
      </c>
      <c r="AG768" s="325">
        <v>0</v>
      </c>
      <c r="AH768" s="328"/>
      <c r="AI768" s="325">
        <v>0</v>
      </c>
      <c r="AJ768" s="328"/>
      <c r="AK768" s="325">
        <v>0</v>
      </c>
      <c r="AL768" s="328"/>
      <c r="AM768" s="325">
        <v>0</v>
      </c>
      <c r="AN768" s="328"/>
      <c r="AO768" s="12">
        <v>173.6</v>
      </c>
      <c r="AP768" s="131" t="s">
        <v>207</v>
      </c>
      <c r="AQ768" s="12">
        <v>227.98</v>
      </c>
      <c r="AR768" s="131" t="s">
        <v>207</v>
      </c>
      <c r="AS768" s="12">
        <v>281.03800000000001</v>
      </c>
      <c r="AT768" s="131" t="s">
        <v>207</v>
      </c>
      <c r="AU768" s="11">
        <f t="shared" si="33"/>
        <v>2166.5379999999996</v>
      </c>
      <c r="AV768" s="329" t="s">
        <v>1721</v>
      </c>
      <c r="AW768" s="23" t="s">
        <v>211</v>
      </c>
      <c r="AX768" s="23" t="s">
        <v>208</v>
      </c>
      <c r="AY768" s="24">
        <v>2</v>
      </c>
      <c r="AZ768" s="24"/>
    </row>
    <row r="769" spans="1:52" ht="15" customHeight="1" x14ac:dyDescent="0.3">
      <c r="A769" s="114">
        <v>758</v>
      </c>
      <c r="B769" s="174" t="s">
        <v>1601</v>
      </c>
      <c r="C769" s="11" t="s">
        <v>1619</v>
      </c>
      <c r="D769" s="11" t="s">
        <v>288</v>
      </c>
      <c r="E769" s="29" t="s">
        <v>205</v>
      </c>
      <c r="F769" s="12" t="s">
        <v>247</v>
      </c>
      <c r="G769" s="25" t="s">
        <v>145</v>
      </c>
      <c r="H769" s="23" t="s">
        <v>146</v>
      </c>
      <c r="I769" s="24">
        <v>1</v>
      </c>
      <c r="J769" s="23" t="s">
        <v>205</v>
      </c>
      <c r="K769" s="23">
        <v>100</v>
      </c>
      <c r="L769" s="23" t="s">
        <v>1621</v>
      </c>
      <c r="M769" s="23" t="s">
        <v>211</v>
      </c>
      <c r="N769" s="122" t="s">
        <v>218</v>
      </c>
      <c r="O769" s="23"/>
      <c r="P769" s="132" t="s">
        <v>218</v>
      </c>
      <c r="Q769" s="23"/>
      <c r="R769" s="23" t="s">
        <v>1622</v>
      </c>
      <c r="S769" s="23"/>
      <c r="T769" s="23"/>
      <c r="U769" s="354">
        <v>2178.46</v>
      </c>
      <c r="V769" s="24">
        <v>2379.44</v>
      </c>
      <c r="W769" s="24">
        <v>430.38</v>
      </c>
      <c r="X769" s="133" t="s">
        <v>207</v>
      </c>
      <c r="Y769" s="12">
        <v>357.06</v>
      </c>
      <c r="Z769" s="133" t="s">
        <v>207</v>
      </c>
      <c r="AA769" s="12">
        <v>368.25</v>
      </c>
      <c r="AB769" s="133" t="s">
        <v>207</v>
      </c>
      <c r="AC769" s="12">
        <v>287.17</v>
      </c>
      <c r="AD769" s="131" t="s">
        <v>207</v>
      </c>
      <c r="AE769" s="12">
        <v>100.47</v>
      </c>
      <c r="AF769" s="131" t="s">
        <v>207</v>
      </c>
      <c r="AG769" s="325">
        <v>0</v>
      </c>
      <c r="AH769" s="328"/>
      <c r="AI769" s="325">
        <v>0</v>
      </c>
      <c r="AJ769" s="328"/>
      <c r="AK769" s="325">
        <v>0</v>
      </c>
      <c r="AL769" s="328"/>
      <c r="AM769" s="325">
        <v>0</v>
      </c>
      <c r="AN769" s="328"/>
      <c r="AO769" s="12">
        <v>193.16</v>
      </c>
      <c r="AP769" s="131" t="s">
        <v>207</v>
      </c>
      <c r="AQ769" s="12">
        <v>262.5</v>
      </c>
      <c r="AR769" s="131" t="s">
        <v>207</v>
      </c>
      <c r="AS769" s="12">
        <v>321.27999999999997</v>
      </c>
      <c r="AT769" s="131" t="s">
        <v>207</v>
      </c>
      <c r="AU769" s="11">
        <f t="shared" si="33"/>
        <v>2320.2700000000004</v>
      </c>
      <c r="AV769" s="329" t="s">
        <v>1722</v>
      </c>
      <c r="AW769" s="23" t="s">
        <v>211</v>
      </c>
      <c r="AX769" s="23" t="s">
        <v>208</v>
      </c>
      <c r="AY769" s="24">
        <v>1</v>
      </c>
      <c r="AZ769" s="24"/>
    </row>
    <row r="770" spans="1:52" ht="15" customHeight="1" x14ac:dyDescent="0.3">
      <c r="A770" s="114">
        <v>759</v>
      </c>
      <c r="B770" s="174" t="s">
        <v>1602</v>
      </c>
      <c r="C770" s="11" t="s">
        <v>1619</v>
      </c>
      <c r="D770" s="11" t="s">
        <v>288</v>
      </c>
      <c r="E770" s="29" t="s">
        <v>205</v>
      </c>
      <c r="F770" s="12" t="s">
        <v>247</v>
      </c>
      <c r="G770" s="25" t="s">
        <v>145</v>
      </c>
      <c r="H770" s="23" t="s">
        <v>146</v>
      </c>
      <c r="I770" s="24">
        <v>3</v>
      </c>
      <c r="J770" s="23" t="s">
        <v>205</v>
      </c>
      <c r="K770" s="23">
        <v>100</v>
      </c>
      <c r="L770" s="23" t="s">
        <v>1621</v>
      </c>
      <c r="M770" s="23" t="s">
        <v>211</v>
      </c>
      <c r="N770" s="122" t="s">
        <v>218</v>
      </c>
      <c r="O770" s="23"/>
      <c r="P770" s="132" t="s">
        <v>218</v>
      </c>
      <c r="Q770" s="23"/>
      <c r="R770" s="23" t="s">
        <v>1622</v>
      </c>
      <c r="S770" s="23"/>
      <c r="T770" s="23"/>
      <c r="U770" s="354">
        <v>3070.36</v>
      </c>
      <c r="V770" s="24">
        <v>3340.44</v>
      </c>
      <c r="W770" s="24">
        <f>173.28+159.96</f>
        <v>333.24</v>
      </c>
      <c r="X770" s="133" t="s">
        <v>207</v>
      </c>
      <c r="Y770" s="12">
        <f>138.596+263.85+136.4</f>
        <v>538.846</v>
      </c>
      <c r="Z770" s="133" t="s">
        <v>207</v>
      </c>
      <c r="AA770" s="12">
        <f>134.05+259.91+138.88</f>
        <v>532.84</v>
      </c>
      <c r="AB770" s="133" t="s">
        <v>207</v>
      </c>
      <c r="AC770" s="12">
        <f>113.46+215.15+121.29</f>
        <v>449.90000000000003</v>
      </c>
      <c r="AD770" s="131" t="s">
        <v>207</v>
      </c>
      <c r="AE770" s="12">
        <v>184.63</v>
      </c>
      <c r="AF770" s="131" t="s">
        <v>207</v>
      </c>
      <c r="AG770" s="325">
        <v>0</v>
      </c>
      <c r="AH770" s="328"/>
      <c r="AI770" s="325">
        <v>0</v>
      </c>
      <c r="AJ770" s="328"/>
      <c r="AK770" s="325">
        <v>0</v>
      </c>
      <c r="AL770" s="328"/>
      <c r="AM770" s="325">
        <v>0</v>
      </c>
      <c r="AN770" s="328"/>
      <c r="AO770" s="12">
        <v>218.55</v>
      </c>
      <c r="AP770" s="131" t="s">
        <v>207</v>
      </c>
      <c r="AQ770" s="12">
        <v>364.81</v>
      </c>
      <c r="AR770" s="131" t="s">
        <v>207</v>
      </c>
      <c r="AS770" s="12">
        <v>432.33</v>
      </c>
      <c r="AT770" s="131" t="s">
        <v>207</v>
      </c>
      <c r="AU770" s="11">
        <f t="shared" si="33"/>
        <v>3055.1460000000002</v>
      </c>
      <c r="AV770" s="329" t="s">
        <v>1723</v>
      </c>
      <c r="AW770" s="23" t="s">
        <v>211</v>
      </c>
      <c r="AX770" s="23" t="s">
        <v>208</v>
      </c>
      <c r="AY770" s="24">
        <v>3</v>
      </c>
      <c r="AZ770" s="24"/>
    </row>
    <row r="771" spans="1:52" ht="15" customHeight="1" x14ac:dyDescent="0.3">
      <c r="A771" s="114">
        <v>760</v>
      </c>
      <c r="B771" s="174" t="s">
        <v>1603</v>
      </c>
      <c r="C771" s="11" t="s">
        <v>1619</v>
      </c>
      <c r="D771" s="11" t="s">
        <v>288</v>
      </c>
      <c r="E771" s="29" t="s">
        <v>205</v>
      </c>
      <c r="F771" s="12" t="s">
        <v>247</v>
      </c>
      <c r="G771" s="25" t="s">
        <v>145</v>
      </c>
      <c r="H771" s="23" t="s">
        <v>146</v>
      </c>
      <c r="I771" s="24">
        <v>3</v>
      </c>
      <c r="J771" s="23" t="s">
        <v>205</v>
      </c>
      <c r="K771" s="23">
        <v>100</v>
      </c>
      <c r="L771" s="23" t="s">
        <v>1621</v>
      </c>
      <c r="M771" s="23" t="s">
        <v>211</v>
      </c>
      <c r="N771" s="122" t="s">
        <v>218</v>
      </c>
      <c r="O771" s="23"/>
      <c r="P771" s="132" t="s">
        <v>218</v>
      </c>
      <c r="Q771" s="23"/>
      <c r="R771" s="23" t="s">
        <v>1622</v>
      </c>
      <c r="S771" s="23"/>
      <c r="T771" s="23"/>
      <c r="U771" s="354">
        <v>3003.99</v>
      </c>
      <c r="V771" s="24">
        <v>3214</v>
      </c>
      <c r="W771" s="24">
        <f>159.5+202.5+154.75</f>
        <v>516.75</v>
      </c>
      <c r="X771" s="133" t="s">
        <v>207</v>
      </c>
      <c r="Y771" s="12">
        <f>184.57+189.94+134.58</f>
        <v>509.09000000000003</v>
      </c>
      <c r="Z771" s="133" t="s">
        <v>207</v>
      </c>
      <c r="AA771" s="12">
        <v>498.2</v>
      </c>
      <c r="AB771" s="133" t="s">
        <v>207</v>
      </c>
      <c r="AC771" s="12">
        <f>157.53+158.15+109.86</f>
        <v>425.54</v>
      </c>
      <c r="AD771" s="131" t="s">
        <v>207</v>
      </c>
      <c r="AE771" s="12">
        <v>140.41</v>
      </c>
      <c r="AF771" s="131" t="s">
        <v>207</v>
      </c>
      <c r="AG771" s="325">
        <v>0</v>
      </c>
      <c r="AH771" s="328"/>
      <c r="AI771" s="325">
        <v>0</v>
      </c>
      <c r="AJ771" s="328"/>
      <c r="AK771" s="325">
        <v>0</v>
      </c>
      <c r="AL771" s="328"/>
      <c r="AM771" s="325">
        <v>0</v>
      </c>
      <c r="AN771" s="328"/>
      <c r="AO771" s="12">
        <v>232.7</v>
      </c>
      <c r="AP771" s="131" t="s">
        <v>207</v>
      </c>
      <c r="AQ771" s="12">
        <v>312.39999999999998</v>
      </c>
      <c r="AR771" s="131" t="s">
        <v>207</v>
      </c>
      <c r="AS771" s="12">
        <v>408.63</v>
      </c>
      <c r="AT771" s="131" t="s">
        <v>207</v>
      </c>
      <c r="AU771" s="11">
        <f t="shared" si="33"/>
        <v>3043.7200000000003</v>
      </c>
      <c r="AV771" s="329" t="s">
        <v>1713</v>
      </c>
      <c r="AW771" s="23" t="s">
        <v>211</v>
      </c>
      <c r="AX771" s="23" t="s">
        <v>208</v>
      </c>
      <c r="AY771" s="24">
        <v>3</v>
      </c>
      <c r="AZ771" s="24"/>
    </row>
    <row r="772" spans="1:52" ht="15" customHeight="1" x14ac:dyDescent="0.3">
      <c r="A772" s="114">
        <v>761</v>
      </c>
      <c r="B772" s="174" t="s">
        <v>1604</v>
      </c>
      <c r="C772" s="11" t="s">
        <v>1619</v>
      </c>
      <c r="D772" s="11" t="s">
        <v>288</v>
      </c>
      <c r="E772" s="29" t="s">
        <v>289</v>
      </c>
      <c r="F772" s="12" t="s">
        <v>247</v>
      </c>
      <c r="G772" s="25" t="s">
        <v>145</v>
      </c>
      <c r="H772" s="23" t="s">
        <v>146</v>
      </c>
      <c r="I772" s="24">
        <v>1</v>
      </c>
      <c r="J772" s="23" t="s">
        <v>289</v>
      </c>
      <c r="K772" s="23">
        <v>80</v>
      </c>
      <c r="L772" s="23" t="s">
        <v>1621</v>
      </c>
      <c r="M772" s="23" t="s">
        <v>223</v>
      </c>
      <c r="N772" s="122" t="s">
        <v>218</v>
      </c>
      <c r="O772" s="23"/>
      <c r="P772" s="132" t="s">
        <v>218</v>
      </c>
      <c r="Q772" s="23"/>
      <c r="R772" s="23" t="s">
        <v>1639</v>
      </c>
      <c r="S772" s="23"/>
      <c r="T772" s="23"/>
      <c r="U772" s="354">
        <v>1005.55</v>
      </c>
      <c r="V772" s="24">
        <v>966.86</v>
      </c>
      <c r="W772" s="24">
        <v>164.7</v>
      </c>
      <c r="X772" s="133" t="s">
        <v>207</v>
      </c>
      <c r="Y772" s="12">
        <v>142.94</v>
      </c>
      <c r="Z772" s="133" t="s">
        <v>207</v>
      </c>
      <c r="AA772" s="12">
        <v>131.80000000000001</v>
      </c>
      <c r="AB772" s="133" t="s">
        <v>207</v>
      </c>
      <c r="AC772" s="12">
        <v>106.89</v>
      </c>
      <c r="AD772" s="131" t="s">
        <v>207</v>
      </c>
      <c r="AE772" s="12">
        <v>32.53</v>
      </c>
      <c r="AF772" s="131" t="s">
        <v>207</v>
      </c>
      <c r="AG772" s="325">
        <v>0</v>
      </c>
      <c r="AH772" s="328"/>
      <c r="AI772" s="325">
        <v>0</v>
      </c>
      <c r="AJ772" s="328"/>
      <c r="AK772" s="325">
        <v>0</v>
      </c>
      <c r="AL772" s="328"/>
      <c r="AM772" s="325">
        <v>0</v>
      </c>
      <c r="AN772" s="328"/>
      <c r="AO772" s="12">
        <v>54.4</v>
      </c>
      <c r="AP772" s="131" t="s">
        <v>207</v>
      </c>
      <c r="AQ772" s="12">
        <v>88.55</v>
      </c>
      <c r="AR772" s="131" t="s">
        <v>207</v>
      </c>
      <c r="AS772" s="12">
        <v>112.5</v>
      </c>
      <c r="AT772" s="131" t="s">
        <v>207</v>
      </c>
      <c r="AU772" s="11">
        <f t="shared" si="33"/>
        <v>834.31</v>
      </c>
      <c r="AV772" s="329" t="s">
        <v>1724</v>
      </c>
      <c r="AW772" s="23" t="s">
        <v>223</v>
      </c>
      <c r="AX772" s="23" t="s">
        <v>208</v>
      </c>
      <c r="AY772" s="24"/>
      <c r="AZ772" s="24"/>
    </row>
    <row r="773" spans="1:52" ht="15" customHeight="1" x14ac:dyDescent="0.3">
      <c r="A773" s="114">
        <v>762</v>
      </c>
      <c r="B773" s="174" t="s">
        <v>1605</v>
      </c>
      <c r="C773" s="11" t="s">
        <v>1619</v>
      </c>
      <c r="D773" s="11" t="s">
        <v>288</v>
      </c>
      <c r="E773" s="29" t="s">
        <v>289</v>
      </c>
      <c r="F773" s="12" t="s">
        <v>247</v>
      </c>
      <c r="G773" s="25" t="s">
        <v>145</v>
      </c>
      <c r="H773" s="23" t="s">
        <v>146</v>
      </c>
      <c r="I773" s="24">
        <v>5</v>
      </c>
      <c r="J773" s="23" t="s">
        <v>289</v>
      </c>
      <c r="K773" s="23">
        <v>100</v>
      </c>
      <c r="L773" s="23" t="s">
        <v>1621</v>
      </c>
      <c r="M773" s="23" t="s">
        <v>223</v>
      </c>
      <c r="N773" s="122" t="s">
        <v>218</v>
      </c>
      <c r="O773" s="23"/>
      <c r="P773" s="132" t="s">
        <v>218</v>
      </c>
      <c r="Q773" s="23"/>
      <c r="R773" s="23" t="s">
        <v>1639</v>
      </c>
      <c r="S773" s="23"/>
      <c r="T773" s="23"/>
      <c r="U773" s="354">
        <v>6561.23</v>
      </c>
      <c r="V773" s="24">
        <v>6922.94</v>
      </c>
      <c r="W773" s="24">
        <f>297.3+308.9+255.9+151+274</f>
        <v>1287.0999999999999</v>
      </c>
      <c r="X773" s="133" t="s">
        <v>207</v>
      </c>
      <c r="Y773" s="12">
        <f>264.54+282.97+225.15+123.44+237.89</f>
        <v>1133.9899999999998</v>
      </c>
      <c r="Z773" s="133" t="s">
        <v>207</v>
      </c>
      <c r="AA773" s="12">
        <v>1058.3399999999999</v>
      </c>
      <c r="AB773" s="133" t="s">
        <v>207</v>
      </c>
      <c r="AC773" s="12">
        <v>983.24</v>
      </c>
      <c r="AD773" s="131" t="s">
        <v>207</v>
      </c>
      <c r="AE773" s="12">
        <v>262.98</v>
      </c>
      <c r="AF773" s="131" t="s">
        <v>207</v>
      </c>
      <c r="AG773" s="325">
        <v>0</v>
      </c>
      <c r="AH773" s="328"/>
      <c r="AI773" s="325">
        <v>0</v>
      </c>
      <c r="AJ773" s="328"/>
      <c r="AK773" s="325">
        <v>0</v>
      </c>
      <c r="AL773" s="328"/>
      <c r="AM773" s="325">
        <v>0</v>
      </c>
      <c r="AN773" s="328"/>
      <c r="AO773" s="12">
        <v>452.71</v>
      </c>
      <c r="AP773" s="131" t="s">
        <v>207</v>
      </c>
      <c r="AQ773" s="12">
        <v>653.78</v>
      </c>
      <c r="AR773" s="131" t="s">
        <v>207</v>
      </c>
      <c r="AS773" s="12">
        <v>842.49</v>
      </c>
      <c r="AT773" s="131" t="s">
        <v>207</v>
      </c>
      <c r="AU773" s="11">
        <f t="shared" si="33"/>
        <v>6674.6299999999992</v>
      </c>
      <c r="AV773" s="329" t="s">
        <v>1725</v>
      </c>
      <c r="AW773" s="23" t="s">
        <v>223</v>
      </c>
      <c r="AX773" s="23" t="s">
        <v>208</v>
      </c>
      <c r="AY773" s="24"/>
      <c r="AZ773" s="24"/>
    </row>
    <row r="774" spans="1:52" ht="15" customHeight="1" x14ac:dyDescent="0.3">
      <c r="A774" s="114">
        <v>763</v>
      </c>
      <c r="B774" s="174" t="s">
        <v>1606</v>
      </c>
      <c r="C774" s="11" t="s">
        <v>1619</v>
      </c>
      <c r="D774" s="11" t="s">
        <v>288</v>
      </c>
      <c r="E774" s="29" t="s">
        <v>205</v>
      </c>
      <c r="F774" s="12" t="s">
        <v>247</v>
      </c>
      <c r="G774" s="25" t="s">
        <v>145</v>
      </c>
      <c r="H774" s="23" t="s">
        <v>146</v>
      </c>
      <c r="I774" s="24">
        <v>1</v>
      </c>
      <c r="J774" s="23" t="s">
        <v>205</v>
      </c>
      <c r="K774" s="23">
        <v>100</v>
      </c>
      <c r="L774" s="23" t="s">
        <v>1621</v>
      </c>
      <c r="M774" s="23" t="s">
        <v>211</v>
      </c>
      <c r="N774" s="122" t="s">
        <v>218</v>
      </c>
      <c r="O774" s="23"/>
      <c r="P774" s="132" t="s">
        <v>218</v>
      </c>
      <c r="Q774" s="23"/>
      <c r="R774" s="23" t="s">
        <v>1622</v>
      </c>
      <c r="S774" s="23"/>
      <c r="T774" s="23"/>
      <c r="U774" s="354">
        <v>1896.4110000000001</v>
      </c>
      <c r="V774" s="24">
        <v>2106.41</v>
      </c>
      <c r="W774" s="24">
        <v>315.2</v>
      </c>
      <c r="X774" s="133" t="s">
        <v>207</v>
      </c>
      <c r="Y774" s="12">
        <v>301.31</v>
      </c>
      <c r="Z774" s="133" t="s">
        <v>207</v>
      </c>
      <c r="AA774" s="12">
        <v>271.63</v>
      </c>
      <c r="AB774" s="133" t="s">
        <v>207</v>
      </c>
      <c r="AC774" s="12">
        <v>94.86</v>
      </c>
      <c r="AD774" s="131" t="s">
        <v>207</v>
      </c>
      <c r="AE774" s="12">
        <v>90.95</v>
      </c>
      <c r="AF774" s="131" t="s">
        <v>207</v>
      </c>
      <c r="AG774" s="325">
        <v>0</v>
      </c>
      <c r="AH774" s="328"/>
      <c r="AI774" s="325">
        <v>0</v>
      </c>
      <c r="AJ774" s="328"/>
      <c r="AK774" s="325">
        <v>0</v>
      </c>
      <c r="AL774" s="328"/>
      <c r="AM774" s="325">
        <v>0</v>
      </c>
      <c r="AN774" s="328"/>
      <c r="AO774" s="12">
        <v>145.19</v>
      </c>
      <c r="AP774" s="131" t="s">
        <v>207</v>
      </c>
      <c r="AQ774" s="12">
        <v>204.185</v>
      </c>
      <c r="AR774" s="131" t="s">
        <v>207</v>
      </c>
      <c r="AS774" s="12">
        <v>256.33</v>
      </c>
      <c r="AT774" s="131" t="s">
        <v>207</v>
      </c>
      <c r="AU774" s="11">
        <f t="shared" si="33"/>
        <v>1679.655</v>
      </c>
      <c r="AV774" s="329" t="s">
        <v>1726</v>
      </c>
      <c r="AW774" s="23" t="s">
        <v>211</v>
      </c>
      <c r="AX774" s="23" t="s">
        <v>208</v>
      </c>
      <c r="AY774" s="24">
        <v>1</v>
      </c>
      <c r="AZ774" s="24"/>
    </row>
    <row r="775" spans="1:52" ht="15" customHeight="1" x14ac:dyDescent="0.3">
      <c r="A775" s="114">
        <v>764</v>
      </c>
      <c r="B775" s="174" t="s">
        <v>1607</v>
      </c>
      <c r="C775" s="11" t="s">
        <v>1619</v>
      </c>
      <c r="D775" s="11" t="s">
        <v>288</v>
      </c>
      <c r="E775" s="29" t="s">
        <v>205</v>
      </c>
      <c r="F775" s="12" t="s">
        <v>247</v>
      </c>
      <c r="G775" s="25" t="s">
        <v>145</v>
      </c>
      <c r="H775" s="23" t="s">
        <v>146</v>
      </c>
      <c r="I775" s="24">
        <v>4</v>
      </c>
      <c r="J775" s="23" t="s">
        <v>205</v>
      </c>
      <c r="K775" s="23">
        <v>100</v>
      </c>
      <c r="L775" s="23" t="s">
        <v>1621</v>
      </c>
      <c r="M775" s="23" t="s">
        <v>211</v>
      </c>
      <c r="N775" s="122" t="s">
        <v>218</v>
      </c>
      <c r="O775" s="23"/>
      <c r="P775" s="132" t="s">
        <v>218</v>
      </c>
      <c r="Q775" s="23"/>
      <c r="R775" s="23" t="s">
        <v>1622</v>
      </c>
      <c r="S775" s="23"/>
      <c r="T775" s="23"/>
      <c r="U775" s="354">
        <v>4124.34</v>
      </c>
      <c r="V775" s="24">
        <v>4281.6400000000003</v>
      </c>
      <c r="W775" s="24">
        <f>149.13+334.8+141.23+131.02</f>
        <v>756.18</v>
      </c>
      <c r="X775" s="133" t="s">
        <v>207</v>
      </c>
      <c r="Y775" s="12">
        <f>130.77+296.22+123.46+116.87</f>
        <v>667.32</v>
      </c>
      <c r="Z775" s="133" t="s">
        <v>207</v>
      </c>
      <c r="AA775" s="12">
        <v>603.45000000000005</v>
      </c>
      <c r="AB775" s="133" t="s">
        <v>207</v>
      </c>
      <c r="AC775" s="12">
        <f>106+245+104+95</f>
        <v>550</v>
      </c>
      <c r="AD775" s="131" t="s">
        <v>207</v>
      </c>
      <c r="AE775" s="12">
        <v>212.53</v>
      </c>
      <c r="AF775" s="131" t="s">
        <v>207</v>
      </c>
      <c r="AG775" s="325">
        <v>0</v>
      </c>
      <c r="AH775" s="328"/>
      <c r="AI775" s="325">
        <v>0</v>
      </c>
      <c r="AJ775" s="328"/>
      <c r="AK775" s="325">
        <v>0</v>
      </c>
      <c r="AL775" s="328"/>
      <c r="AM775" s="325">
        <v>0</v>
      </c>
      <c r="AN775" s="328"/>
      <c r="AO775" s="12">
        <v>294.8</v>
      </c>
      <c r="AP775" s="131" t="s">
        <v>207</v>
      </c>
      <c r="AQ775" s="12">
        <v>426.34</v>
      </c>
      <c r="AR775" s="131" t="s">
        <v>207</v>
      </c>
      <c r="AS775" s="12">
        <v>520.84</v>
      </c>
      <c r="AT775" s="131" t="s">
        <v>207</v>
      </c>
      <c r="AU775" s="11">
        <f t="shared" si="33"/>
        <v>4031.4600000000005</v>
      </c>
      <c r="AV775" s="329" t="s">
        <v>1727</v>
      </c>
      <c r="AW775" s="23" t="s">
        <v>211</v>
      </c>
      <c r="AX775" s="23" t="s">
        <v>208</v>
      </c>
      <c r="AY775" s="24">
        <v>4</v>
      </c>
      <c r="AZ775" s="24"/>
    </row>
    <row r="776" spans="1:52" ht="15" customHeight="1" x14ac:dyDescent="0.3">
      <c r="A776" s="114">
        <v>765</v>
      </c>
      <c r="B776" s="174" t="s">
        <v>1608</v>
      </c>
      <c r="C776" s="11" t="s">
        <v>1619</v>
      </c>
      <c r="D776" s="11" t="s">
        <v>288</v>
      </c>
      <c r="E776" s="29" t="s">
        <v>205</v>
      </c>
      <c r="F776" s="12" t="s">
        <v>247</v>
      </c>
      <c r="G776" s="25" t="s">
        <v>145</v>
      </c>
      <c r="H776" s="23" t="s">
        <v>146</v>
      </c>
      <c r="I776" s="24">
        <v>2</v>
      </c>
      <c r="J776" s="23" t="s">
        <v>205</v>
      </c>
      <c r="K776" s="23">
        <v>100</v>
      </c>
      <c r="L776" s="23" t="s">
        <v>1621</v>
      </c>
      <c r="M776" s="23" t="s">
        <v>211</v>
      </c>
      <c r="N776" s="122" t="s">
        <v>218</v>
      </c>
      <c r="O776" s="23"/>
      <c r="P776" s="132" t="s">
        <v>218</v>
      </c>
      <c r="Q776" s="23"/>
      <c r="R776" s="23" t="s">
        <v>1622</v>
      </c>
      <c r="S776" s="23"/>
      <c r="T776" s="23"/>
      <c r="U776" s="354">
        <v>2012.85</v>
      </c>
      <c r="V776" s="24">
        <v>2255.3000000000002</v>
      </c>
      <c r="W776" s="24">
        <f>169.25+256.35</f>
        <v>425.6</v>
      </c>
      <c r="X776" s="133" t="s">
        <v>207</v>
      </c>
      <c r="Y776" s="12">
        <f>146.13+225.51</f>
        <v>371.64</v>
      </c>
      <c r="Z776" s="133" t="s">
        <v>207</v>
      </c>
      <c r="AA776" s="12">
        <v>352.14</v>
      </c>
      <c r="AB776" s="133" t="s">
        <v>207</v>
      </c>
      <c r="AC776" s="12">
        <f>106.71+186</f>
        <v>292.70999999999998</v>
      </c>
      <c r="AD776" s="131" t="s">
        <v>207</v>
      </c>
      <c r="AE776" s="12">
        <v>108.66</v>
      </c>
      <c r="AF776" s="131" t="s">
        <v>207</v>
      </c>
      <c r="AG776" s="325">
        <v>0</v>
      </c>
      <c r="AH776" s="328"/>
      <c r="AI776" s="325">
        <v>0</v>
      </c>
      <c r="AJ776" s="328"/>
      <c r="AK776" s="325">
        <v>0</v>
      </c>
      <c r="AL776" s="328"/>
      <c r="AM776" s="325">
        <v>0</v>
      </c>
      <c r="AN776" s="328"/>
      <c r="AO776" s="12">
        <v>160.01</v>
      </c>
      <c r="AP776" s="131" t="s">
        <v>207</v>
      </c>
      <c r="AQ776" s="12">
        <v>242.59</v>
      </c>
      <c r="AR776" s="131" t="s">
        <v>207</v>
      </c>
      <c r="AS776" s="12">
        <v>295.2</v>
      </c>
      <c r="AT776" s="131" t="s">
        <v>207</v>
      </c>
      <c r="AU776" s="11">
        <f t="shared" si="33"/>
        <v>2248.5500000000002</v>
      </c>
      <c r="AV776" s="329" t="s">
        <v>1728</v>
      </c>
      <c r="AW776" s="23" t="s">
        <v>211</v>
      </c>
      <c r="AX776" s="23" t="s">
        <v>208</v>
      </c>
      <c r="AY776" s="24">
        <v>2</v>
      </c>
      <c r="AZ776" s="24"/>
    </row>
    <row r="777" spans="1:52" ht="15" customHeight="1" x14ac:dyDescent="0.3">
      <c r="A777" s="114">
        <v>766</v>
      </c>
      <c r="B777" s="174" t="s">
        <v>1609</v>
      </c>
      <c r="C777" s="11" t="s">
        <v>1619</v>
      </c>
      <c r="D777" s="11" t="s">
        <v>288</v>
      </c>
      <c r="E777" s="29" t="s">
        <v>205</v>
      </c>
      <c r="F777" s="12" t="s">
        <v>247</v>
      </c>
      <c r="G777" s="25" t="s">
        <v>145</v>
      </c>
      <c r="H777" s="23" t="s">
        <v>146</v>
      </c>
      <c r="I777" s="24">
        <v>1</v>
      </c>
      <c r="J777" s="23" t="s">
        <v>205</v>
      </c>
      <c r="K777" s="23">
        <v>100</v>
      </c>
      <c r="L777" s="23" t="s">
        <v>1621</v>
      </c>
      <c r="M777" s="23" t="s">
        <v>211</v>
      </c>
      <c r="N777" s="122" t="s">
        <v>218</v>
      </c>
      <c r="O777" s="23"/>
      <c r="P777" s="132" t="s">
        <v>218</v>
      </c>
      <c r="Q777" s="23"/>
      <c r="R777" s="23" t="s">
        <v>1622</v>
      </c>
      <c r="S777" s="23"/>
      <c r="T777" s="23"/>
      <c r="U777" s="354">
        <v>761.13</v>
      </c>
      <c r="V777" s="24">
        <v>828.98</v>
      </c>
      <c r="W777" s="24">
        <f>172+208+273+354+219</f>
        <v>1226</v>
      </c>
      <c r="X777" s="133" t="s">
        <v>207</v>
      </c>
      <c r="Y777" s="12">
        <v>134.13999999999999</v>
      </c>
      <c r="Z777" s="133" t="s">
        <v>207</v>
      </c>
      <c r="AA777" s="12">
        <v>125.87</v>
      </c>
      <c r="AB777" s="133" t="s">
        <v>207</v>
      </c>
      <c r="AC777" s="12">
        <v>104.706</v>
      </c>
      <c r="AD777" s="131" t="s">
        <v>207</v>
      </c>
      <c r="AE777" s="12">
        <v>46.24</v>
      </c>
      <c r="AF777" s="131" t="s">
        <v>207</v>
      </c>
      <c r="AG777" s="325">
        <v>0</v>
      </c>
      <c r="AH777" s="328"/>
      <c r="AI777" s="325">
        <v>0</v>
      </c>
      <c r="AJ777" s="328"/>
      <c r="AK777" s="325">
        <v>0</v>
      </c>
      <c r="AL777" s="328"/>
      <c r="AM777" s="325">
        <v>0</v>
      </c>
      <c r="AN777" s="328"/>
      <c r="AO777" s="12">
        <v>502.82</v>
      </c>
      <c r="AP777" s="131" t="s">
        <v>207</v>
      </c>
      <c r="AQ777" s="12">
        <v>200.12</v>
      </c>
      <c r="AR777" s="131" t="s">
        <v>207</v>
      </c>
      <c r="AS777" s="12">
        <v>103.048</v>
      </c>
      <c r="AT777" s="131" t="s">
        <v>207</v>
      </c>
      <c r="AU777" s="11">
        <f t="shared" si="33"/>
        <v>2442.9439999999995</v>
      </c>
      <c r="AV777" s="329" t="s">
        <v>1705</v>
      </c>
      <c r="AW777" s="23" t="s">
        <v>211</v>
      </c>
      <c r="AX777" s="23" t="s">
        <v>208</v>
      </c>
      <c r="AY777" s="24">
        <v>1</v>
      </c>
      <c r="AZ777" s="24"/>
    </row>
    <row r="778" spans="1:52" ht="15" customHeight="1" x14ac:dyDescent="0.3">
      <c r="A778" s="114">
        <v>767</v>
      </c>
      <c r="B778" s="174" t="s">
        <v>1610</v>
      </c>
      <c r="C778" s="11" t="s">
        <v>1619</v>
      </c>
      <c r="D778" s="11" t="s">
        <v>288</v>
      </c>
      <c r="E778" s="29" t="s">
        <v>205</v>
      </c>
      <c r="F778" s="12" t="s">
        <v>247</v>
      </c>
      <c r="G778" s="25" t="s">
        <v>145</v>
      </c>
      <c r="H778" s="23" t="s">
        <v>146</v>
      </c>
      <c r="I778" s="24">
        <v>1</v>
      </c>
      <c r="J778" s="23" t="s">
        <v>205</v>
      </c>
      <c r="K778" s="23">
        <v>100</v>
      </c>
      <c r="L778" s="23" t="s">
        <v>1621</v>
      </c>
      <c r="M778" s="23" t="s">
        <v>211</v>
      </c>
      <c r="N778" s="122" t="s">
        <v>218</v>
      </c>
      <c r="O778" s="23"/>
      <c r="P778" s="132" t="s">
        <v>218</v>
      </c>
      <c r="Q778" s="23"/>
      <c r="R778" s="23" t="s">
        <v>1622</v>
      </c>
      <c r="S778" s="23"/>
      <c r="T778" s="23"/>
      <c r="U778" s="354">
        <v>2510.81</v>
      </c>
      <c r="V778" s="24">
        <v>2961.67</v>
      </c>
      <c r="W778" s="24">
        <v>723.96</v>
      </c>
      <c r="X778" s="133" t="s">
        <v>207</v>
      </c>
      <c r="Y778" s="12">
        <v>584.15</v>
      </c>
      <c r="Z778" s="133" t="s">
        <v>207</v>
      </c>
      <c r="AA778" s="12">
        <v>542.94000000000005</v>
      </c>
      <c r="AB778" s="133" t="s">
        <v>207</v>
      </c>
      <c r="AC778" s="12">
        <v>473.61</v>
      </c>
      <c r="AD778" s="131" t="s">
        <v>207</v>
      </c>
      <c r="AE778" s="12">
        <v>148.54</v>
      </c>
      <c r="AF778" s="131" t="s">
        <v>207</v>
      </c>
      <c r="AG778" s="325">
        <v>0</v>
      </c>
      <c r="AH778" s="328"/>
      <c r="AI778" s="325">
        <v>0</v>
      </c>
      <c r="AJ778" s="328"/>
      <c r="AK778" s="325">
        <v>0</v>
      </c>
      <c r="AL778" s="328"/>
      <c r="AM778" s="325">
        <v>0</v>
      </c>
      <c r="AN778" s="328"/>
      <c r="AO778" s="12">
        <v>230.38</v>
      </c>
      <c r="AP778" s="131" t="s">
        <v>207</v>
      </c>
      <c r="AQ778" s="12">
        <v>351.6</v>
      </c>
      <c r="AR778" s="131" t="s">
        <v>207</v>
      </c>
      <c r="AS778" s="12">
        <v>413.21</v>
      </c>
      <c r="AT778" s="131" t="s">
        <v>207</v>
      </c>
      <c r="AU778" s="11">
        <f t="shared" si="33"/>
        <v>3468.3900000000003</v>
      </c>
      <c r="AV778" s="329" t="s">
        <v>1729</v>
      </c>
      <c r="AW778" s="23" t="s">
        <v>211</v>
      </c>
      <c r="AX778" s="23" t="s">
        <v>208</v>
      </c>
      <c r="AY778" s="24">
        <v>1</v>
      </c>
      <c r="AZ778" s="24"/>
    </row>
    <row r="779" spans="1:52" ht="15" customHeight="1" x14ac:dyDescent="0.3">
      <c r="A779" s="114">
        <v>768</v>
      </c>
      <c r="B779" s="174" t="s">
        <v>1611</v>
      </c>
      <c r="C779" s="11" t="s">
        <v>1619</v>
      </c>
      <c r="D779" s="11" t="s">
        <v>288</v>
      </c>
      <c r="E779" s="29" t="s">
        <v>205</v>
      </c>
      <c r="F779" s="12" t="s">
        <v>247</v>
      </c>
      <c r="G779" s="25" t="s">
        <v>145</v>
      </c>
      <c r="H779" s="23" t="s">
        <v>146</v>
      </c>
      <c r="I779" s="24">
        <v>1</v>
      </c>
      <c r="J779" s="23" t="s">
        <v>205</v>
      </c>
      <c r="K779" s="23">
        <v>100</v>
      </c>
      <c r="L779" s="23" t="s">
        <v>1621</v>
      </c>
      <c r="M779" s="23" t="s">
        <v>211</v>
      </c>
      <c r="N779" s="122" t="s">
        <v>218</v>
      </c>
      <c r="O779" s="23"/>
      <c r="P779" s="132" t="s">
        <v>218</v>
      </c>
      <c r="Q779" s="23"/>
      <c r="R779" s="23" t="s">
        <v>1622</v>
      </c>
      <c r="S779" s="23"/>
      <c r="T779" s="23"/>
      <c r="U779" s="354">
        <v>881.29</v>
      </c>
      <c r="V779" s="24">
        <v>861.11</v>
      </c>
      <c r="W779" s="24">
        <v>156.19999999999999</v>
      </c>
      <c r="X779" s="133" t="s">
        <v>207</v>
      </c>
      <c r="Y779" s="12">
        <v>584.15</v>
      </c>
      <c r="Z779" s="133" t="s">
        <v>207</v>
      </c>
      <c r="AA779" s="12">
        <v>128.99</v>
      </c>
      <c r="AB779" s="133" t="s">
        <v>207</v>
      </c>
      <c r="AC779" s="12">
        <v>106.67</v>
      </c>
      <c r="AD779" s="131" t="s">
        <v>207</v>
      </c>
      <c r="AE779" s="12">
        <v>37.33</v>
      </c>
      <c r="AF779" s="131" t="s">
        <v>207</v>
      </c>
      <c r="AG779" s="325">
        <v>0</v>
      </c>
      <c r="AH779" s="328"/>
      <c r="AI779" s="325">
        <v>0</v>
      </c>
      <c r="AJ779" s="328"/>
      <c r="AK779" s="325">
        <v>0</v>
      </c>
      <c r="AL779" s="328"/>
      <c r="AM779" s="325">
        <v>0</v>
      </c>
      <c r="AN779" s="328"/>
      <c r="AO779" s="12">
        <v>51.93</v>
      </c>
      <c r="AP779" s="131" t="s">
        <v>207</v>
      </c>
      <c r="AQ779" s="12">
        <v>77.16</v>
      </c>
      <c r="AR779" s="131" t="s">
        <v>207</v>
      </c>
      <c r="AS779" s="12">
        <v>98.9</v>
      </c>
      <c r="AT779" s="131" t="s">
        <v>207</v>
      </c>
      <c r="AU779" s="11">
        <f t="shared" si="33"/>
        <v>1241.3300000000002</v>
      </c>
      <c r="AV779" s="329" t="s">
        <v>1730</v>
      </c>
      <c r="AW779" s="23" t="s">
        <v>211</v>
      </c>
      <c r="AX779" s="23" t="s">
        <v>208</v>
      </c>
      <c r="AY779" s="24">
        <v>1</v>
      </c>
      <c r="AZ779" s="24"/>
    </row>
    <row r="780" spans="1:52" ht="15" customHeight="1" x14ac:dyDescent="0.3">
      <c r="A780" s="114">
        <v>769</v>
      </c>
      <c r="B780" s="174" t="s">
        <v>1612</v>
      </c>
      <c r="C780" s="11" t="s">
        <v>1619</v>
      </c>
      <c r="D780" s="11" t="s">
        <v>288</v>
      </c>
      <c r="E780" s="29" t="s">
        <v>205</v>
      </c>
      <c r="F780" s="12" t="s">
        <v>247</v>
      </c>
      <c r="G780" s="25" t="s">
        <v>145</v>
      </c>
      <c r="H780" s="23" t="s">
        <v>146</v>
      </c>
      <c r="I780" s="24">
        <v>1</v>
      </c>
      <c r="J780" s="23" t="s">
        <v>205</v>
      </c>
      <c r="K780" s="23">
        <v>100</v>
      </c>
      <c r="L780" s="23" t="s">
        <v>1621</v>
      </c>
      <c r="M780" s="23" t="s">
        <v>211</v>
      </c>
      <c r="N780" s="122" t="s">
        <v>218</v>
      </c>
      <c r="O780" s="23"/>
      <c r="P780" s="132" t="s">
        <v>218</v>
      </c>
      <c r="Q780" s="23"/>
      <c r="R780" s="23" t="s">
        <v>1622</v>
      </c>
      <c r="S780" s="23"/>
      <c r="T780" s="23"/>
      <c r="U780" s="354">
        <v>1172.0899999999999</v>
      </c>
      <c r="V780" s="24">
        <v>1206.44</v>
      </c>
      <c r="W780" s="24">
        <v>243.26</v>
      </c>
      <c r="X780" s="133" t="s">
        <v>207</v>
      </c>
      <c r="Y780" s="12">
        <v>218.5</v>
      </c>
      <c r="Z780" s="133" t="s">
        <v>207</v>
      </c>
      <c r="AA780" s="12">
        <v>202.39</v>
      </c>
      <c r="AB780" s="133" t="s">
        <v>207</v>
      </c>
      <c r="AC780" s="12">
        <v>172.72</v>
      </c>
      <c r="AD780" s="131" t="s">
        <v>207</v>
      </c>
      <c r="AE780" s="12">
        <v>65.52</v>
      </c>
      <c r="AF780" s="131" t="s">
        <v>207</v>
      </c>
      <c r="AG780" s="325">
        <v>0</v>
      </c>
      <c r="AH780" s="328"/>
      <c r="AI780" s="325">
        <v>0</v>
      </c>
      <c r="AJ780" s="328"/>
      <c r="AK780" s="325">
        <v>0</v>
      </c>
      <c r="AL780" s="328"/>
      <c r="AM780" s="325">
        <v>0</v>
      </c>
      <c r="AN780" s="328"/>
      <c r="AO780" s="12">
        <v>93.91</v>
      </c>
      <c r="AP780" s="131" t="s">
        <v>207</v>
      </c>
      <c r="AQ780" s="12">
        <v>141.18</v>
      </c>
      <c r="AR780" s="131" t="s">
        <v>207</v>
      </c>
      <c r="AS780" s="12">
        <v>173.14</v>
      </c>
      <c r="AT780" s="131" t="s">
        <v>207</v>
      </c>
      <c r="AU780" s="11">
        <f t="shared" si="33"/>
        <v>1310.6199999999999</v>
      </c>
      <c r="AV780" s="329" t="s">
        <v>1699</v>
      </c>
      <c r="AW780" s="23" t="s">
        <v>211</v>
      </c>
      <c r="AX780" s="23" t="s">
        <v>208</v>
      </c>
      <c r="AY780" s="24">
        <v>1</v>
      </c>
      <c r="AZ780" s="24"/>
    </row>
    <row r="781" spans="1:52" ht="15" customHeight="1" x14ac:dyDescent="0.3">
      <c r="A781" s="114">
        <v>770</v>
      </c>
      <c r="B781" s="174" t="s">
        <v>1613</v>
      </c>
      <c r="C781" s="11" t="s">
        <v>1619</v>
      </c>
      <c r="D781" s="11" t="s">
        <v>288</v>
      </c>
      <c r="E781" s="29" t="s">
        <v>205</v>
      </c>
      <c r="F781" s="12" t="s">
        <v>247</v>
      </c>
      <c r="G781" s="25" t="s">
        <v>145</v>
      </c>
      <c r="H781" s="23" t="s">
        <v>146</v>
      </c>
      <c r="I781" s="24">
        <v>1</v>
      </c>
      <c r="J781" s="23" t="s">
        <v>205</v>
      </c>
      <c r="K781" s="23">
        <v>100</v>
      </c>
      <c r="L781" s="23" t="s">
        <v>1621</v>
      </c>
      <c r="M781" s="23" t="s">
        <v>211</v>
      </c>
      <c r="N781" s="122" t="s">
        <v>218</v>
      </c>
      <c r="O781" s="23"/>
      <c r="P781" s="132" t="s">
        <v>218</v>
      </c>
      <c r="Q781" s="23"/>
      <c r="R781" s="23" t="s">
        <v>1622</v>
      </c>
      <c r="S781" s="23"/>
      <c r="T781" s="23"/>
      <c r="U781" s="354">
        <v>1156.06</v>
      </c>
      <c r="V781" s="24">
        <v>1261.3</v>
      </c>
      <c r="W781" s="24">
        <v>283.3</v>
      </c>
      <c r="X781" s="133" t="s">
        <v>207</v>
      </c>
      <c r="Y781" s="12">
        <v>257.36</v>
      </c>
      <c r="Z781" s="133" t="s">
        <v>207</v>
      </c>
      <c r="AA781" s="12">
        <v>244.05</v>
      </c>
      <c r="AB781" s="133" t="s">
        <v>207</v>
      </c>
      <c r="AC781" s="12">
        <v>186.37</v>
      </c>
      <c r="AD781" s="131" t="s">
        <v>207</v>
      </c>
      <c r="AE781" s="12">
        <v>63.95</v>
      </c>
      <c r="AF781" s="131" t="s">
        <v>207</v>
      </c>
      <c r="AG781" s="325">
        <v>0</v>
      </c>
      <c r="AH781" s="328"/>
      <c r="AI781" s="325">
        <v>0</v>
      </c>
      <c r="AJ781" s="328"/>
      <c r="AK781" s="325">
        <v>0</v>
      </c>
      <c r="AL781" s="328"/>
      <c r="AM781" s="325">
        <v>0</v>
      </c>
      <c r="AN781" s="328"/>
      <c r="AO781" s="12">
        <v>85.56</v>
      </c>
      <c r="AP781" s="131" t="s">
        <v>207</v>
      </c>
      <c r="AQ781" s="12">
        <v>142.49</v>
      </c>
      <c r="AR781" s="131" t="s">
        <v>207</v>
      </c>
      <c r="AS781" s="12">
        <v>176.3</v>
      </c>
      <c r="AT781" s="131" t="s">
        <v>207</v>
      </c>
      <c r="AU781" s="11">
        <f t="shared" si="33"/>
        <v>1439.3799999999999</v>
      </c>
      <c r="AV781" s="329" t="s">
        <v>1731</v>
      </c>
      <c r="AW781" s="23" t="s">
        <v>211</v>
      </c>
      <c r="AX781" s="23" t="s">
        <v>208</v>
      </c>
      <c r="AY781" s="24">
        <v>1</v>
      </c>
      <c r="AZ781" s="24"/>
    </row>
    <row r="782" spans="1:52" ht="15" customHeight="1" x14ac:dyDescent="0.3">
      <c r="A782" s="114">
        <v>771</v>
      </c>
      <c r="B782" s="174" t="s">
        <v>1614</v>
      </c>
      <c r="C782" s="11" t="s">
        <v>1619</v>
      </c>
      <c r="D782" s="11" t="s">
        <v>288</v>
      </c>
      <c r="E782" s="29" t="s">
        <v>205</v>
      </c>
      <c r="F782" s="12" t="s">
        <v>247</v>
      </c>
      <c r="G782" s="25" t="s">
        <v>145</v>
      </c>
      <c r="H782" s="23" t="s">
        <v>146</v>
      </c>
      <c r="I782" s="24">
        <v>2</v>
      </c>
      <c r="J782" s="23" t="s">
        <v>205</v>
      </c>
      <c r="K782" s="23">
        <v>100</v>
      </c>
      <c r="L782" s="23" t="s">
        <v>1621</v>
      </c>
      <c r="M782" s="23" t="s">
        <v>211</v>
      </c>
      <c r="N782" s="122" t="s">
        <v>218</v>
      </c>
      <c r="O782" s="23"/>
      <c r="P782" s="132" t="s">
        <v>218</v>
      </c>
      <c r="Q782" s="23"/>
      <c r="R782" s="23" t="s">
        <v>1622</v>
      </c>
      <c r="S782" s="23"/>
      <c r="T782" s="23"/>
      <c r="U782" s="354">
        <v>1368.81</v>
      </c>
      <c r="V782" s="24">
        <v>1591.94</v>
      </c>
      <c r="W782" s="24">
        <f>162.5+139.7</f>
        <v>302.2</v>
      </c>
      <c r="X782" s="133" t="s">
        <v>207</v>
      </c>
      <c r="Y782" s="12">
        <f>130.55+123.01</f>
        <v>253.56</v>
      </c>
      <c r="Z782" s="133" t="s">
        <v>207</v>
      </c>
      <c r="AA782" s="12">
        <v>245.14</v>
      </c>
      <c r="AB782" s="133" t="s">
        <v>207</v>
      </c>
      <c r="AC782" s="12">
        <v>187.9</v>
      </c>
      <c r="AD782" s="131" t="s">
        <v>207</v>
      </c>
      <c r="AE782" s="12">
        <v>88.65</v>
      </c>
      <c r="AF782" s="131" t="s">
        <v>207</v>
      </c>
      <c r="AG782" s="325">
        <v>0</v>
      </c>
      <c r="AH782" s="328"/>
      <c r="AI782" s="325">
        <v>0</v>
      </c>
      <c r="AJ782" s="328"/>
      <c r="AK782" s="325">
        <v>0</v>
      </c>
      <c r="AL782" s="328"/>
      <c r="AM782" s="325">
        <v>0</v>
      </c>
      <c r="AN782" s="328"/>
      <c r="AO782" s="12">
        <v>96.51</v>
      </c>
      <c r="AP782" s="131" t="s">
        <v>207</v>
      </c>
      <c r="AQ782" s="12">
        <v>158.71</v>
      </c>
      <c r="AR782" s="131" t="s">
        <v>207</v>
      </c>
      <c r="AS782" s="12">
        <v>185.22399999999999</v>
      </c>
      <c r="AT782" s="131" t="s">
        <v>207</v>
      </c>
      <c r="AU782" s="11">
        <f t="shared" si="33"/>
        <v>1517.894</v>
      </c>
      <c r="AV782" s="329" t="s">
        <v>1732</v>
      </c>
      <c r="AW782" s="23" t="s">
        <v>211</v>
      </c>
      <c r="AX782" s="23" t="s">
        <v>208</v>
      </c>
      <c r="AY782" s="24">
        <v>2</v>
      </c>
      <c r="AZ782" s="24"/>
    </row>
    <row r="783" spans="1:52" ht="15" customHeight="1" x14ac:dyDescent="0.3">
      <c r="A783" s="114">
        <v>772</v>
      </c>
      <c r="B783" s="174" t="s">
        <v>1615</v>
      </c>
      <c r="C783" s="11" t="s">
        <v>1619</v>
      </c>
      <c r="D783" s="11" t="s">
        <v>288</v>
      </c>
      <c r="E783" s="29" t="s">
        <v>205</v>
      </c>
      <c r="F783" s="12" t="s">
        <v>247</v>
      </c>
      <c r="G783" s="25" t="s">
        <v>145</v>
      </c>
      <c r="H783" s="23" t="s">
        <v>146</v>
      </c>
      <c r="I783" s="24">
        <v>1</v>
      </c>
      <c r="J783" s="23" t="s">
        <v>205</v>
      </c>
      <c r="K783" s="23">
        <v>100</v>
      </c>
      <c r="L783" s="23" t="s">
        <v>1621</v>
      </c>
      <c r="M783" s="23" t="s">
        <v>211</v>
      </c>
      <c r="N783" s="122" t="s">
        <v>218</v>
      </c>
      <c r="O783" s="23"/>
      <c r="P783" s="132" t="s">
        <v>218</v>
      </c>
      <c r="Q783" s="23"/>
      <c r="R783" s="23" t="s">
        <v>1622</v>
      </c>
      <c r="S783" s="23"/>
      <c r="T783" s="23"/>
      <c r="U783" s="354">
        <v>1173.45</v>
      </c>
      <c r="V783" s="24">
        <v>1374.73</v>
      </c>
      <c r="W783" s="24">
        <v>270.2</v>
      </c>
      <c r="X783" s="133" t="s">
        <v>207</v>
      </c>
      <c r="Y783" s="12">
        <v>234</v>
      </c>
      <c r="Z783" s="133" t="s">
        <v>207</v>
      </c>
      <c r="AA783" s="12">
        <v>218.44</v>
      </c>
      <c r="AB783" s="133" t="s">
        <v>207</v>
      </c>
      <c r="AC783" s="12">
        <v>180.46</v>
      </c>
      <c r="AD783" s="131" t="s">
        <v>207</v>
      </c>
      <c r="AE783" s="12">
        <v>67.45</v>
      </c>
      <c r="AF783" s="131" t="s">
        <v>207</v>
      </c>
      <c r="AG783" s="325">
        <v>0</v>
      </c>
      <c r="AH783" s="328"/>
      <c r="AI783" s="325">
        <v>0</v>
      </c>
      <c r="AJ783" s="328"/>
      <c r="AK783" s="325">
        <v>0</v>
      </c>
      <c r="AL783" s="328"/>
      <c r="AM783" s="325">
        <v>0</v>
      </c>
      <c r="AN783" s="328"/>
      <c r="AO783" s="12">
        <v>104.04</v>
      </c>
      <c r="AP783" s="131" t="s">
        <v>207</v>
      </c>
      <c r="AQ783" s="12">
        <v>140.62</v>
      </c>
      <c r="AR783" s="131" t="s">
        <v>207</v>
      </c>
      <c r="AS783" s="12">
        <v>191.036</v>
      </c>
      <c r="AT783" s="131" t="s">
        <v>207</v>
      </c>
      <c r="AU783" s="11">
        <f t="shared" si="33"/>
        <v>1406.2460000000001</v>
      </c>
      <c r="AV783" s="329" t="s">
        <v>1702</v>
      </c>
      <c r="AW783" s="23" t="s">
        <v>211</v>
      </c>
      <c r="AX783" s="23" t="s">
        <v>208</v>
      </c>
      <c r="AY783" s="24">
        <v>1</v>
      </c>
      <c r="AZ783" s="24"/>
    </row>
    <row r="784" spans="1:52" ht="15" customHeight="1" x14ac:dyDescent="0.3">
      <c r="A784" s="114">
        <v>773</v>
      </c>
      <c r="B784" s="174" t="s">
        <v>1616</v>
      </c>
      <c r="C784" s="11" t="s">
        <v>1619</v>
      </c>
      <c r="D784" s="11" t="s">
        <v>288</v>
      </c>
      <c r="E784" s="29" t="s">
        <v>205</v>
      </c>
      <c r="F784" s="12" t="s">
        <v>247</v>
      </c>
      <c r="G784" s="25" t="s">
        <v>145</v>
      </c>
      <c r="H784" s="23" t="s">
        <v>146</v>
      </c>
      <c r="I784" s="24">
        <v>1</v>
      </c>
      <c r="J784" s="23" t="s">
        <v>205</v>
      </c>
      <c r="K784" s="23">
        <v>100</v>
      </c>
      <c r="L784" s="23" t="s">
        <v>1621</v>
      </c>
      <c r="M784" s="23" t="s">
        <v>211</v>
      </c>
      <c r="N784" s="122" t="s">
        <v>218</v>
      </c>
      <c r="O784" s="23"/>
      <c r="P784" s="132" t="s">
        <v>218</v>
      </c>
      <c r="Q784" s="23"/>
      <c r="R784" s="23" t="s">
        <v>1622</v>
      </c>
      <c r="S784" s="23"/>
      <c r="T784" s="23"/>
      <c r="U784" s="354">
        <v>2480.6</v>
      </c>
      <c r="V784" s="24">
        <v>2639.21</v>
      </c>
      <c r="W784" s="24">
        <v>507.62299999999999</v>
      </c>
      <c r="X784" s="133" t="s">
        <v>207</v>
      </c>
      <c r="Y784" s="12">
        <v>457.34</v>
      </c>
      <c r="Z784" s="133" t="s">
        <v>207</v>
      </c>
      <c r="AA784" s="12">
        <v>465.23</v>
      </c>
      <c r="AB784" s="133" t="s">
        <v>207</v>
      </c>
      <c r="AC784" s="12">
        <v>439.5</v>
      </c>
      <c r="AD784" s="131" t="s">
        <v>207</v>
      </c>
      <c r="AE784" s="12">
        <v>44.23</v>
      </c>
      <c r="AF784" s="131" t="s">
        <v>207</v>
      </c>
      <c r="AG784" s="325">
        <v>0</v>
      </c>
      <c r="AH784" s="328"/>
      <c r="AI784" s="325">
        <v>0</v>
      </c>
      <c r="AJ784" s="328"/>
      <c r="AK784" s="325">
        <v>0</v>
      </c>
      <c r="AL784" s="328"/>
      <c r="AM784" s="325">
        <v>0</v>
      </c>
      <c r="AN784" s="328"/>
      <c r="AO784" s="12">
        <v>56.8</v>
      </c>
      <c r="AP784" s="131" t="s">
        <v>207</v>
      </c>
      <c r="AQ784" s="12">
        <v>81.599999999999994</v>
      </c>
      <c r="AR784" s="131" t="s">
        <v>207</v>
      </c>
      <c r="AS784" s="12">
        <v>109.8</v>
      </c>
      <c r="AT784" s="131" t="s">
        <v>207</v>
      </c>
      <c r="AU784" s="11">
        <f t="shared" si="33"/>
        <v>2162.123</v>
      </c>
      <c r="AV784" s="329" t="s">
        <v>1733</v>
      </c>
      <c r="AW784" s="23" t="s">
        <v>211</v>
      </c>
      <c r="AX784" s="23" t="s">
        <v>208</v>
      </c>
      <c r="AY784" s="24">
        <v>3</v>
      </c>
      <c r="AZ784" s="24"/>
    </row>
    <row r="785" spans="1:52" ht="15" customHeight="1" x14ac:dyDescent="0.3">
      <c r="A785" s="114">
        <v>774</v>
      </c>
      <c r="B785" s="174" t="s">
        <v>1617</v>
      </c>
      <c r="C785" s="11" t="s">
        <v>1619</v>
      </c>
      <c r="D785" s="11" t="s">
        <v>288</v>
      </c>
      <c r="E785" s="29" t="s">
        <v>205</v>
      </c>
      <c r="F785" s="12" t="s">
        <v>247</v>
      </c>
      <c r="G785" s="25" t="s">
        <v>145</v>
      </c>
      <c r="H785" s="23" t="s">
        <v>146</v>
      </c>
      <c r="I785" s="24">
        <v>2</v>
      </c>
      <c r="J785" s="23" t="s">
        <v>205</v>
      </c>
      <c r="K785" s="23">
        <v>100</v>
      </c>
      <c r="L785" s="23" t="s">
        <v>1621</v>
      </c>
      <c r="M785" s="23" t="s">
        <v>211</v>
      </c>
      <c r="N785" s="122" t="s">
        <v>218</v>
      </c>
      <c r="O785" s="23"/>
      <c r="P785" s="132" t="s">
        <v>218</v>
      </c>
      <c r="Q785" s="23"/>
      <c r="R785" s="23" t="s">
        <v>1622</v>
      </c>
      <c r="S785" s="23"/>
      <c r="T785" s="23"/>
      <c r="U785" s="358">
        <v>2834.67</v>
      </c>
      <c r="V785" s="24">
        <v>3018.33</v>
      </c>
      <c r="W785" s="24">
        <v>581.28</v>
      </c>
      <c r="X785" s="133" t="s">
        <v>207</v>
      </c>
      <c r="Y785" s="12">
        <f>972.94-Y784</f>
        <v>515.60000000000014</v>
      </c>
      <c r="Z785" s="133" t="s">
        <v>207</v>
      </c>
      <c r="AA785" s="12">
        <v>512.89</v>
      </c>
      <c r="AB785" s="133" t="s">
        <v>207</v>
      </c>
      <c r="AC785" s="12">
        <v>485.2</v>
      </c>
      <c r="AD785" s="131" t="s">
        <v>207</v>
      </c>
      <c r="AE785" s="12">
        <f>96-44.23</f>
        <v>51.77</v>
      </c>
      <c r="AF785" s="131" t="s">
        <v>207</v>
      </c>
      <c r="AG785" s="325">
        <v>0</v>
      </c>
      <c r="AH785" s="328"/>
      <c r="AI785" s="325">
        <v>0</v>
      </c>
      <c r="AJ785" s="328"/>
      <c r="AK785" s="325">
        <v>0</v>
      </c>
      <c r="AL785" s="328"/>
      <c r="AM785" s="325">
        <v>0</v>
      </c>
      <c r="AN785" s="328"/>
      <c r="AO785" s="12">
        <f>136.45-AO784</f>
        <v>79.649999999999991</v>
      </c>
      <c r="AP785" s="131" t="s">
        <v>207</v>
      </c>
      <c r="AQ785" s="12">
        <f>181.21-AQ784</f>
        <v>99.610000000000014</v>
      </c>
      <c r="AR785" s="131" t="s">
        <v>207</v>
      </c>
      <c r="AS785" s="12">
        <f>224.01-109.8</f>
        <v>114.21</v>
      </c>
      <c r="AT785" s="131" t="s">
        <v>207</v>
      </c>
      <c r="AU785" s="11">
        <f t="shared" si="33"/>
        <v>2440.21</v>
      </c>
      <c r="AV785" s="329"/>
      <c r="AW785" s="23" t="s">
        <v>211</v>
      </c>
      <c r="AX785" s="23" t="s">
        <v>208</v>
      </c>
      <c r="AY785" s="24"/>
      <c r="AZ785" s="24"/>
    </row>
    <row r="786" spans="1:52" ht="15" customHeight="1" x14ac:dyDescent="0.3">
      <c r="A786" s="114">
        <v>775</v>
      </c>
      <c r="B786" s="174" t="s">
        <v>1618</v>
      </c>
      <c r="C786" s="11" t="s">
        <v>1734</v>
      </c>
      <c r="D786" s="11" t="s">
        <v>288</v>
      </c>
      <c r="E786" s="29" t="s">
        <v>205</v>
      </c>
      <c r="F786" s="12" t="s">
        <v>247</v>
      </c>
      <c r="G786" s="25" t="s">
        <v>145</v>
      </c>
      <c r="H786" s="23" t="s">
        <v>146</v>
      </c>
      <c r="I786" s="24">
        <v>4</v>
      </c>
      <c r="J786" s="23" t="s">
        <v>205</v>
      </c>
      <c r="K786" s="23">
        <v>100</v>
      </c>
      <c r="L786" s="23" t="s">
        <v>1621</v>
      </c>
      <c r="M786" s="23" t="s">
        <v>211</v>
      </c>
      <c r="N786" s="122" t="s">
        <v>218</v>
      </c>
      <c r="O786" s="23"/>
      <c r="P786" s="132" t="s">
        <v>218</v>
      </c>
      <c r="Q786" s="23"/>
      <c r="R786" s="23" t="s">
        <v>1622</v>
      </c>
      <c r="S786" s="23"/>
      <c r="T786" s="23"/>
      <c r="U786" s="358">
        <v>5592.27</v>
      </c>
      <c r="V786" s="24">
        <v>6118.51</v>
      </c>
      <c r="W786" s="24">
        <f>386.6+88.04+330.9+335.7</f>
        <v>1141.24</v>
      </c>
      <c r="X786" s="133" t="s">
        <v>207</v>
      </c>
      <c r="Y786" s="12">
        <f>321.39+69.88+266.01+287.84</f>
        <v>945.11999999999989</v>
      </c>
      <c r="Z786" s="133" t="s">
        <v>207</v>
      </c>
      <c r="AA786" s="12">
        <v>918.98</v>
      </c>
      <c r="AB786" s="133" t="s">
        <v>207</v>
      </c>
      <c r="AC786" s="12">
        <f>206+48+180+242</f>
        <v>676</v>
      </c>
      <c r="AD786" s="131" t="s">
        <v>207</v>
      </c>
      <c r="AE786" s="12">
        <v>281.08999999999997</v>
      </c>
      <c r="AF786" s="131" t="s">
        <v>207</v>
      </c>
      <c r="AG786" s="325">
        <v>0</v>
      </c>
      <c r="AH786" s="328"/>
      <c r="AI786" s="325">
        <v>0</v>
      </c>
      <c r="AJ786" s="328"/>
      <c r="AK786" s="325">
        <v>0</v>
      </c>
      <c r="AL786" s="328"/>
      <c r="AM786" s="325">
        <v>0</v>
      </c>
      <c r="AN786" s="328"/>
      <c r="AO786" s="12">
        <v>436.14</v>
      </c>
      <c r="AP786" s="131" t="s">
        <v>207</v>
      </c>
      <c r="AQ786" s="12">
        <v>634.14</v>
      </c>
      <c r="AR786" s="131" t="s">
        <v>207</v>
      </c>
      <c r="AS786" s="12">
        <v>810.37</v>
      </c>
      <c r="AT786" s="131" t="s">
        <v>207</v>
      </c>
      <c r="AU786" s="11">
        <f t="shared" si="33"/>
        <v>5843.08</v>
      </c>
      <c r="AV786" s="329" t="s">
        <v>1735</v>
      </c>
      <c r="AW786" s="23" t="s">
        <v>211</v>
      </c>
      <c r="AX786" s="23" t="s">
        <v>208</v>
      </c>
      <c r="AY786" s="24">
        <v>4</v>
      </c>
      <c r="AZ786" s="24"/>
    </row>
  </sheetData>
  <mergeCells count="42">
    <mergeCell ref="K5:K9"/>
    <mergeCell ref="L5:L9"/>
    <mergeCell ref="M5:M9"/>
    <mergeCell ref="I5:I9"/>
    <mergeCell ref="J5:J9"/>
    <mergeCell ref="A5:A9"/>
    <mergeCell ref="F5:F9"/>
    <mergeCell ref="G5:G9"/>
    <mergeCell ref="H5:H9"/>
    <mergeCell ref="B5:B9"/>
    <mergeCell ref="E5:E9"/>
    <mergeCell ref="D5:D9"/>
    <mergeCell ref="C5:C9"/>
    <mergeCell ref="AU7:AU8"/>
    <mergeCell ref="S5:S9"/>
    <mergeCell ref="T5:T9"/>
    <mergeCell ref="W7:X8"/>
    <mergeCell ref="Y7:Z8"/>
    <mergeCell ref="W6:AU6"/>
    <mergeCell ref="U5:AU5"/>
    <mergeCell ref="U6:U8"/>
    <mergeCell ref="V6:V8"/>
    <mergeCell ref="AQ7:AR8"/>
    <mergeCell ref="AZ5:AZ9"/>
    <mergeCell ref="AV5:AV9"/>
    <mergeCell ref="AW5:AW9"/>
    <mergeCell ref="AX5:AX9"/>
    <mergeCell ref="AY5:AY9"/>
    <mergeCell ref="R5:R9"/>
    <mergeCell ref="N5:N9"/>
    <mergeCell ref="O5:O9"/>
    <mergeCell ref="P5:P9"/>
    <mergeCell ref="AS7:AT8"/>
    <mergeCell ref="AA7:AB8"/>
    <mergeCell ref="AE7:AF8"/>
    <mergeCell ref="AG7:AH8"/>
    <mergeCell ref="AI7:AJ8"/>
    <mergeCell ref="AC7:AD8"/>
    <mergeCell ref="AK7:AL8"/>
    <mergeCell ref="AM7:AN8"/>
    <mergeCell ref="AO7:AP8"/>
    <mergeCell ref="Q5:Q9"/>
  </mergeCells>
  <phoneticPr fontId="11" type="noConversion"/>
  <pageMargins left="0.23622047244094491" right="0.23622047244094491" top="0.74803149606299213" bottom="0.74803149606299213" header="0.31496062992125984" footer="0.31496062992125984"/>
  <pageSetup paperSize="9" scale="43" fitToWidth="0" fitToHeight="0" orientation="landscape" r:id="rId1"/>
  <headerFooter>
    <oddFooter>Страница  &amp;P из &amp;N</oddFooter>
  </headerFooter>
  <colBreaks count="1" manualBreakCount="1">
    <brk id="24" max="78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201"/>
  <sheetViews>
    <sheetView view="pageBreakPreview" topLeftCell="A37" zoomScale="60" zoomScaleNormal="60" workbookViewId="0">
      <selection activeCell="J18" sqref="J18"/>
    </sheetView>
  </sheetViews>
  <sheetFormatPr defaultColWidth="9.109375" defaultRowHeight="18" customHeight="1" x14ac:dyDescent="0.25"/>
  <cols>
    <col min="1" max="2" width="9.6640625" style="10" customWidth="1"/>
    <col min="3" max="3" width="20.6640625" style="134" customWidth="1"/>
    <col min="4" max="4" width="23.33203125" style="9" customWidth="1"/>
    <col min="5" max="5" width="20.6640625" style="10" customWidth="1"/>
    <col min="6" max="6" width="9.6640625" style="10" customWidth="1"/>
    <col min="7" max="7" width="9.6640625" style="238" customWidth="1"/>
    <col min="8" max="8" width="9.6640625" style="134" customWidth="1"/>
    <col min="9" max="9" width="9.6640625" style="9" customWidth="1"/>
    <col min="10" max="10" width="17" style="134" customWidth="1"/>
    <col min="11" max="11" width="19.33203125" style="134" customWidth="1"/>
    <col min="12" max="12" width="19.44140625" style="134" customWidth="1"/>
    <col min="13" max="13" width="14.5546875" style="10" bestFit="1" customWidth="1"/>
    <col min="14" max="14" width="14.5546875" style="134" bestFit="1" customWidth="1"/>
    <col min="15" max="16" width="9.6640625" style="134" customWidth="1"/>
    <col min="17" max="18" width="12.33203125" style="134" customWidth="1"/>
    <col min="19" max="38" width="9.6640625" style="134" customWidth="1"/>
    <col min="39" max="39" width="14.5546875" style="134" bestFit="1" customWidth="1"/>
    <col min="40" max="16384" width="9.109375" style="10"/>
  </cols>
  <sheetData>
    <row r="1" spans="1:39" ht="18" customHeight="1" x14ac:dyDescent="0.25">
      <c r="A1" s="238" t="s">
        <v>53</v>
      </c>
    </row>
    <row r="2" spans="1:39" ht="18" customHeight="1" x14ac:dyDescent="0.3">
      <c r="A2" s="238"/>
      <c r="C2" s="360" t="s">
        <v>126</v>
      </c>
    </row>
    <row r="3" spans="1:39" ht="18" customHeight="1" x14ac:dyDescent="0.3">
      <c r="A3" s="27"/>
      <c r="C3" s="360" t="s">
        <v>138</v>
      </c>
    </row>
    <row r="5" spans="1:39" s="7" customFormat="1" ht="18" customHeight="1" x14ac:dyDescent="0.3">
      <c r="A5" s="409" t="s">
        <v>22</v>
      </c>
      <c r="B5" s="413" t="s">
        <v>2</v>
      </c>
      <c r="C5" s="411" t="s">
        <v>24</v>
      </c>
      <c r="D5" s="436" t="s">
        <v>84</v>
      </c>
      <c r="E5" s="411" t="s">
        <v>47</v>
      </c>
      <c r="F5" s="411" t="s">
        <v>3</v>
      </c>
      <c r="G5" s="411" t="s">
        <v>104</v>
      </c>
      <c r="H5" s="411"/>
      <c r="I5" s="411" t="s">
        <v>105</v>
      </c>
      <c r="J5" s="411"/>
      <c r="K5" s="439" t="s">
        <v>86</v>
      </c>
      <c r="L5" s="439" t="s">
        <v>87</v>
      </c>
      <c r="M5" s="403" t="s">
        <v>44</v>
      </c>
      <c r="N5" s="404"/>
      <c r="O5" s="404"/>
      <c r="P5" s="404"/>
      <c r="Q5" s="404"/>
      <c r="R5" s="404"/>
      <c r="S5" s="404"/>
      <c r="T5" s="404"/>
      <c r="U5" s="404"/>
      <c r="V5" s="404"/>
      <c r="W5" s="404"/>
      <c r="X5" s="404"/>
      <c r="Y5" s="404"/>
      <c r="Z5" s="404"/>
      <c r="AA5" s="404"/>
      <c r="AB5" s="404"/>
      <c r="AC5" s="404"/>
      <c r="AD5" s="404"/>
      <c r="AE5" s="404"/>
      <c r="AF5" s="404"/>
      <c r="AG5" s="404"/>
      <c r="AH5" s="404"/>
      <c r="AI5" s="404"/>
      <c r="AJ5" s="404"/>
      <c r="AK5" s="404"/>
      <c r="AL5" s="404"/>
      <c r="AM5" s="405"/>
    </row>
    <row r="6" spans="1:39" s="7" customFormat="1" ht="18" customHeight="1" x14ac:dyDescent="0.3">
      <c r="A6" s="410"/>
      <c r="B6" s="414"/>
      <c r="C6" s="411"/>
      <c r="D6" s="436"/>
      <c r="E6" s="411"/>
      <c r="F6" s="411"/>
      <c r="G6" s="411"/>
      <c r="H6" s="411"/>
      <c r="I6" s="411"/>
      <c r="J6" s="411"/>
      <c r="K6" s="440"/>
      <c r="L6" s="440"/>
      <c r="M6" s="406" t="s">
        <v>45</v>
      </c>
      <c r="N6" s="406" t="s">
        <v>46</v>
      </c>
      <c r="O6" s="400" t="s">
        <v>43</v>
      </c>
      <c r="P6" s="401"/>
      <c r="Q6" s="401"/>
      <c r="R6" s="401"/>
      <c r="S6" s="401"/>
      <c r="T6" s="401"/>
      <c r="U6" s="401"/>
      <c r="V6" s="401"/>
      <c r="W6" s="401"/>
      <c r="X6" s="401"/>
      <c r="Y6" s="401"/>
      <c r="Z6" s="401"/>
      <c r="AA6" s="401"/>
      <c r="AB6" s="401"/>
      <c r="AC6" s="401"/>
      <c r="AD6" s="401"/>
      <c r="AE6" s="401"/>
      <c r="AF6" s="401"/>
      <c r="AG6" s="401"/>
      <c r="AH6" s="401"/>
      <c r="AI6" s="401"/>
      <c r="AJ6" s="401"/>
      <c r="AK6" s="401"/>
      <c r="AL6" s="401"/>
      <c r="AM6" s="402"/>
    </row>
    <row r="7" spans="1:39" s="7" customFormat="1" ht="18" customHeight="1" x14ac:dyDescent="0.3">
      <c r="A7" s="409"/>
      <c r="B7" s="414"/>
      <c r="C7" s="435"/>
      <c r="D7" s="437"/>
      <c r="E7" s="412"/>
      <c r="F7" s="412"/>
      <c r="G7" s="442" t="s">
        <v>91</v>
      </c>
      <c r="H7" s="411" t="s">
        <v>92</v>
      </c>
      <c r="I7" s="445" t="s">
        <v>91</v>
      </c>
      <c r="J7" s="411" t="s">
        <v>92</v>
      </c>
      <c r="K7" s="440"/>
      <c r="L7" s="440"/>
      <c r="M7" s="407"/>
      <c r="N7" s="407"/>
      <c r="O7" s="397" t="s">
        <v>5</v>
      </c>
      <c r="P7" s="433"/>
      <c r="Q7" s="397" t="s">
        <v>6</v>
      </c>
      <c r="R7" s="433"/>
      <c r="S7" s="397" t="s">
        <v>7</v>
      </c>
      <c r="T7" s="433"/>
      <c r="U7" s="397" t="s">
        <v>8</v>
      </c>
      <c r="V7" s="433"/>
      <c r="W7" s="397" t="s">
        <v>9</v>
      </c>
      <c r="X7" s="433"/>
      <c r="Y7" s="397" t="s">
        <v>10</v>
      </c>
      <c r="Z7" s="433"/>
      <c r="AA7" s="397" t="s">
        <v>11</v>
      </c>
      <c r="AB7" s="433"/>
      <c r="AC7" s="397" t="s">
        <v>12</v>
      </c>
      <c r="AD7" s="433"/>
      <c r="AE7" s="397" t="s">
        <v>13</v>
      </c>
      <c r="AF7" s="433"/>
      <c r="AG7" s="397" t="s">
        <v>14</v>
      </c>
      <c r="AH7" s="433"/>
      <c r="AI7" s="397" t="s">
        <v>15</v>
      </c>
      <c r="AJ7" s="433"/>
      <c r="AK7" s="397" t="s">
        <v>16</v>
      </c>
      <c r="AL7" s="433"/>
      <c r="AM7" s="397" t="s">
        <v>4</v>
      </c>
    </row>
    <row r="8" spans="1:39" s="7" customFormat="1" ht="18" customHeight="1" x14ac:dyDescent="0.3">
      <c r="A8" s="409"/>
      <c r="B8" s="414"/>
      <c r="C8" s="435"/>
      <c r="D8" s="437"/>
      <c r="E8" s="412"/>
      <c r="F8" s="412"/>
      <c r="G8" s="443"/>
      <c r="H8" s="411"/>
      <c r="I8" s="445"/>
      <c r="J8" s="411"/>
      <c r="K8" s="440"/>
      <c r="L8" s="440"/>
      <c r="M8" s="408"/>
      <c r="N8" s="408"/>
      <c r="O8" s="433"/>
      <c r="P8" s="433"/>
      <c r="Q8" s="433"/>
      <c r="R8" s="433"/>
      <c r="S8" s="433"/>
      <c r="T8" s="433"/>
      <c r="U8" s="433"/>
      <c r="V8" s="433"/>
      <c r="W8" s="433"/>
      <c r="X8" s="433"/>
      <c r="Y8" s="433"/>
      <c r="Z8" s="433"/>
      <c r="AA8" s="433"/>
      <c r="AB8" s="433"/>
      <c r="AC8" s="433"/>
      <c r="AD8" s="433"/>
      <c r="AE8" s="433"/>
      <c r="AF8" s="433"/>
      <c r="AG8" s="433"/>
      <c r="AH8" s="433"/>
      <c r="AI8" s="433"/>
      <c r="AJ8" s="433"/>
      <c r="AK8" s="433"/>
      <c r="AL8" s="433"/>
      <c r="AM8" s="397"/>
    </row>
    <row r="9" spans="1:39" s="7" customFormat="1" ht="18" customHeight="1" x14ac:dyDescent="0.3">
      <c r="A9" s="409"/>
      <c r="B9" s="415"/>
      <c r="C9" s="435"/>
      <c r="D9" s="437"/>
      <c r="E9" s="412"/>
      <c r="F9" s="412"/>
      <c r="G9" s="444"/>
      <c r="H9" s="411"/>
      <c r="I9" s="445"/>
      <c r="J9" s="411"/>
      <c r="K9" s="441"/>
      <c r="L9" s="441"/>
      <c r="M9" s="22" t="s">
        <v>54</v>
      </c>
      <c r="N9" s="22" t="s">
        <v>54</v>
      </c>
      <c r="O9" s="302" t="s">
        <v>37</v>
      </c>
      <c r="P9" s="302" t="s">
        <v>42</v>
      </c>
      <c r="Q9" s="302" t="s">
        <v>37</v>
      </c>
      <c r="R9" s="302" t="s">
        <v>42</v>
      </c>
      <c r="S9" s="302" t="s">
        <v>37</v>
      </c>
      <c r="T9" s="302" t="s">
        <v>42</v>
      </c>
      <c r="U9" s="302" t="s">
        <v>37</v>
      </c>
      <c r="V9" s="302" t="s">
        <v>42</v>
      </c>
      <c r="W9" s="302" t="s">
        <v>37</v>
      </c>
      <c r="X9" s="302" t="s">
        <v>42</v>
      </c>
      <c r="Y9" s="302" t="s">
        <v>37</v>
      </c>
      <c r="Z9" s="302" t="s">
        <v>42</v>
      </c>
      <c r="AA9" s="302" t="s">
        <v>37</v>
      </c>
      <c r="AB9" s="302" t="s">
        <v>42</v>
      </c>
      <c r="AC9" s="302" t="s">
        <v>37</v>
      </c>
      <c r="AD9" s="302" t="s">
        <v>42</v>
      </c>
      <c r="AE9" s="302" t="s">
        <v>37</v>
      </c>
      <c r="AF9" s="302" t="s">
        <v>42</v>
      </c>
      <c r="AG9" s="302" t="s">
        <v>37</v>
      </c>
      <c r="AH9" s="302" t="s">
        <v>42</v>
      </c>
      <c r="AI9" s="302" t="s">
        <v>37</v>
      </c>
      <c r="AJ9" s="302" t="s">
        <v>42</v>
      </c>
      <c r="AK9" s="302" t="s">
        <v>37</v>
      </c>
      <c r="AL9" s="302" t="s">
        <v>42</v>
      </c>
      <c r="AM9" s="22" t="s">
        <v>54</v>
      </c>
    </row>
    <row r="10" spans="1:39" s="6" customFormat="1" ht="18" customHeight="1" x14ac:dyDescent="0.3">
      <c r="A10" s="40">
        <v>1</v>
      </c>
      <c r="B10" s="40">
        <v>2</v>
      </c>
      <c r="C10" s="41">
        <v>3</v>
      </c>
      <c r="D10" s="157">
        <v>4</v>
      </c>
      <c r="E10" s="41">
        <v>5</v>
      </c>
      <c r="F10" s="41">
        <v>6</v>
      </c>
      <c r="G10" s="381">
        <v>7</v>
      </c>
      <c r="H10" s="303">
        <v>8</v>
      </c>
      <c r="I10" s="304">
        <v>9</v>
      </c>
      <c r="J10" s="303">
        <v>10</v>
      </c>
      <c r="K10" s="46">
        <v>11</v>
      </c>
      <c r="L10" s="46">
        <v>12</v>
      </c>
      <c r="M10" s="43">
        <v>13</v>
      </c>
      <c r="N10" s="43">
        <v>14</v>
      </c>
      <c r="O10" s="43">
        <v>15</v>
      </c>
      <c r="P10" s="43">
        <v>16</v>
      </c>
      <c r="Q10" s="43">
        <v>17</v>
      </c>
      <c r="R10" s="43">
        <v>18</v>
      </c>
      <c r="S10" s="43">
        <v>19</v>
      </c>
      <c r="T10" s="43">
        <v>20</v>
      </c>
      <c r="U10" s="43">
        <v>21</v>
      </c>
      <c r="V10" s="43">
        <v>22</v>
      </c>
      <c r="W10" s="43">
        <v>23</v>
      </c>
      <c r="X10" s="43">
        <v>24</v>
      </c>
      <c r="Y10" s="43">
        <v>25</v>
      </c>
      <c r="Z10" s="43">
        <v>26</v>
      </c>
      <c r="AA10" s="43">
        <v>27</v>
      </c>
      <c r="AB10" s="43">
        <v>28</v>
      </c>
      <c r="AC10" s="43">
        <v>29</v>
      </c>
      <c r="AD10" s="43">
        <v>30</v>
      </c>
      <c r="AE10" s="43">
        <v>31</v>
      </c>
      <c r="AF10" s="43">
        <v>32</v>
      </c>
      <c r="AG10" s="43">
        <v>33</v>
      </c>
      <c r="AH10" s="43">
        <v>34</v>
      </c>
      <c r="AI10" s="43">
        <v>35</v>
      </c>
      <c r="AJ10" s="43">
        <v>36</v>
      </c>
      <c r="AK10" s="43">
        <v>37</v>
      </c>
      <c r="AL10" s="43">
        <v>38</v>
      </c>
      <c r="AM10" s="43">
        <v>39</v>
      </c>
    </row>
    <row r="11" spans="1:39" s="3" customFormat="1" ht="18" customHeight="1" x14ac:dyDescent="0.3">
      <c r="A11" s="424">
        <v>1</v>
      </c>
      <c r="B11" s="422" t="s">
        <v>285</v>
      </c>
      <c r="C11" s="131" t="s">
        <v>213</v>
      </c>
      <c r="D11" s="158" t="s">
        <v>1739</v>
      </c>
      <c r="E11" s="31" t="s">
        <v>144</v>
      </c>
      <c r="F11" s="23" t="s">
        <v>49</v>
      </c>
      <c r="G11" s="177"/>
      <c r="H11" s="131"/>
      <c r="I11" s="158"/>
      <c r="J11" s="131"/>
      <c r="K11" s="132"/>
      <c r="L11" s="132"/>
      <c r="M11" s="29"/>
      <c r="N11" s="327"/>
      <c r="O11" s="327"/>
      <c r="P11" s="327"/>
      <c r="Q11" s="327"/>
      <c r="R11" s="327"/>
      <c r="S11" s="327"/>
      <c r="T11" s="327"/>
      <c r="U11" s="327"/>
      <c r="V11" s="327"/>
      <c r="W11" s="327"/>
      <c r="X11" s="327"/>
      <c r="Y11" s="327"/>
      <c r="Z11" s="327"/>
      <c r="AA11" s="327"/>
      <c r="AB11" s="327"/>
      <c r="AC11" s="327"/>
      <c r="AD11" s="327"/>
      <c r="AE11" s="327"/>
      <c r="AF11" s="327"/>
      <c r="AG11" s="327"/>
      <c r="AH11" s="327"/>
      <c r="AI11" s="327"/>
      <c r="AJ11" s="327"/>
      <c r="AK11" s="327"/>
      <c r="AL11" s="327"/>
      <c r="AM11" s="327"/>
    </row>
    <row r="12" spans="1:39" ht="18" customHeight="1" x14ac:dyDescent="0.3">
      <c r="A12" s="425"/>
      <c r="B12" s="423"/>
      <c r="C12" s="133"/>
      <c r="D12" s="156"/>
      <c r="E12" s="31" t="s">
        <v>48</v>
      </c>
      <c r="F12" s="23" t="s">
        <v>49</v>
      </c>
      <c r="G12" s="374"/>
      <c r="H12" s="133">
        <v>616</v>
      </c>
      <c r="I12" s="156"/>
      <c r="J12" s="133">
        <v>14</v>
      </c>
      <c r="K12" s="132" t="s">
        <v>202</v>
      </c>
      <c r="L12" s="132" t="s">
        <v>202</v>
      </c>
      <c r="M12" s="327" t="s">
        <v>210</v>
      </c>
      <c r="N12" s="327" t="s">
        <v>210</v>
      </c>
      <c r="O12" s="327">
        <v>21655</v>
      </c>
      <c r="P12" s="327" t="s">
        <v>207</v>
      </c>
      <c r="Q12" s="327">
        <v>13659</v>
      </c>
      <c r="R12" s="327" t="s">
        <v>207</v>
      </c>
      <c r="S12" s="327">
        <v>15759</v>
      </c>
      <c r="T12" s="327" t="s">
        <v>207</v>
      </c>
      <c r="U12" s="327">
        <v>16697</v>
      </c>
      <c r="V12" s="327" t="s">
        <v>207</v>
      </c>
      <c r="W12" s="327">
        <v>15846</v>
      </c>
      <c r="X12" s="327" t="s">
        <v>207</v>
      </c>
      <c r="Y12" s="327">
        <v>10237</v>
      </c>
      <c r="Z12" s="327" t="s">
        <v>207</v>
      </c>
      <c r="AA12" s="327">
        <v>11821</v>
      </c>
      <c r="AB12" s="327" t="s">
        <v>207</v>
      </c>
      <c r="AC12" s="327">
        <v>13078</v>
      </c>
      <c r="AD12" s="327" t="s">
        <v>207</v>
      </c>
      <c r="AE12" s="327">
        <v>12929</v>
      </c>
      <c r="AF12" s="327" t="s">
        <v>207</v>
      </c>
      <c r="AG12" s="327">
        <v>15194</v>
      </c>
      <c r="AH12" s="327" t="s">
        <v>207</v>
      </c>
      <c r="AI12" s="327">
        <v>15630</v>
      </c>
      <c r="AJ12" s="327" t="s">
        <v>207</v>
      </c>
      <c r="AK12" s="327">
        <v>15470</v>
      </c>
      <c r="AL12" s="327" t="s">
        <v>207</v>
      </c>
      <c r="AM12" s="330">
        <f>O12+Q12+S12+U12+W12+Y12+AA12+AC12+AE12+AG12+AI12+AK12</f>
        <v>177975</v>
      </c>
    </row>
    <row r="13" spans="1:39" s="3" customFormat="1" ht="18" customHeight="1" x14ac:dyDescent="0.3">
      <c r="A13" s="424">
        <v>2</v>
      </c>
      <c r="B13" s="422" t="s">
        <v>580</v>
      </c>
      <c r="C13" s="131" t="s">
        <v>240</v>
      </c>
      <c r="D13" s="158" t="s">
        <v>241</v>
      </c>
      <c r="E13" s="31" t="s">
        <v>144</v>
      </c>
      <c r="F13" s="23" t="s">
        <v>49</v>
      </c>
      <c r="G13" s="177"/>
      <c r="H13" s="131"/>
      <c r="I13" s="158"/>
      <c r="J13" s="131"/>
      <c r="K13" s="132" t="s">
        <v>218</v>
      </c>
      <c r="L13" s="132" t="s">
        <v>218</v>
      </c>
      <c r="M13" s="132">
        <v>125684</v>
      </c>
      <c r="N13" s="132">
        <v>117870</v>
      </c>
      <c r="O13" s="327">
        <v>10166</v>
      </c>
      <c r="P13" s="327" t="s">
        <v>207</v>
      </c>
      <c r="Q13" s="327">
        <v>8394</v>
      </c>
      <c r="R13" s="327" t="s">
        <v>207</v>
      </c>
      <c r="S13" s="327">
        <v>9050</v>
      </c>
      <c r="T13" s="327" t="s">
        <v>207</v>
      </c>
      <c r="U13" s="327">
        <v>9940</v>
      </c>
      <c r="V13" s="327" t="s">
        <v>207</v>
      </c>
      <c r="W13" s="327">
        <v>6750</v>
      </c>
      <c r="X13" s="327" t="s">
        <v>207</v>
      </c>
      <c r="Y13" s="327">
        <v>6380</v>
      </c>
      <c r="Z13" s="327" t="s">
        <v>207</v>
      </c>
      <c r="AA13" s="327">
        <v>7270</v>
      </c>
      <c r="AB13" s="327" t="s">
        <v>207</v>
      </c>
      <c r="AC13" s="327">
        <v>6470</v>
      </c>
      <c r="AD13" s="327" t="s">
        <v>207</v>
      </c>
      <c r="AE13" s="327">
        <v>6787</v>
      </c>
      <c r="AF13" s="327" t="s">
        <v>207</v>
      </c>
      <c r="AG13" s="327">
        <v>10173</v>
      </c>
      <c r="AH13" s="327" t="s">
        <v>207</v>
      </c>
      <c r="AI13" s="327">
        <v>8680</v>
      </c>
      <c r="AJ13" s="327" t="s">
        <v>207</v>
      </c>
      <c r="AK13" s="327">
        <v>10920</v>
      </c>
      <c r="AL13" s="327" t="s">
        <v>207</v>
      </c>
      <c r="AM13" s="327">
        <v>111146</v>
      </c>
    </row>
    <row r="14" spans="1:39" ht="18" customHeight="1" x14ac:dyDescent="0.3">
      <c r="A14" s="425"/>
      <c r="B14" s="423"/>
      <c r="C14" s="133"/>
      <c r="D14" s="156"/>
      <c r="E14" s="31" t="s">
        <v>48</v>
      </c>
      <c r="F14" s="23" t="s">
        <v>49</v>
      </c>
      <c r="G14" s="374" t="s">
        <v>242</v>
      </c>
      <c r="H14" s="133">
        <v>730</v>
      </c>
      <c r="I14" s="156" t="s">
        <v>243</v>
      </c>
      <c r="J14" s="133">
        <v>12</v>
      </c>
      <c r="K14" s="132"/>
      <c r="L14" s="132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30"/>
      <c r="X14" s="330"/>
      <c r="Y14" s="330"/>
      <c r="Z14" s="330"/>
      <c r="AA14" s="330"/>
      <c r="AB14" s="330"/>
      <c r="AC14" s="330"/>
      <c r="AD14" s="330"/>
      <c r="AE14" s="330"/>
      <c r="AF14" s="330"/>
      <c r="AG14" s="330"/>
      <c r="AH14" s="330"/>
      <c r="AI14" s="330"/>
      <c r="AJ14" s="330"/>
      <c r="AK14" s="330"/>
      <c r="AL14" s="330"/>
      <c r="AM14" s="330"/>
    </row>
    <row r="15" spans="1:39" s="86" customFormat="1" ht="18" customHeight="1" x14ac:dyDescent="0.3">
      <c r="A15" s="431">
        <v>3</v>
      </c>
      <c r="B15" s="422" t="s">
        <v>581</v>
      </c>
      <c r="C15" s="118" t="s">
        <v>268</v>
      </c>
      <c r="D15" s="159" t="s">
        <v>269</v>
      </c>
      <c r="E15" s="31" t="s">
        <v>144</v>
      </c>
      <c r="F15" s="85" t="s">
        <v>49</v>
      </c>
      <c r="G15" s="174"/>
      <c r="H15" s="118"/>
      <c r="I15" s="159"/>
      <c r="J15" s="118"/>
      <c r="K15" s="116" t="s">
        <v>218</v>
      </c>
      <c r="L15" s="116" t="s">
        <v>218</v>
      </c>
      <c r="M15" s="116">
        <v>82609</v>
      </c>
      <c r="N15" s="116">
        <v>75442</v>
      </c>
      <c r="O15" s="117">
        <v>6331</v>
      </c>
      <c r="P15" s="117" t="s">
        <v>207</v>
      </c>
      <c r="Q15" s="117">
        <v>6263</v>
      </c>
      <c r="R15" s="117" t="s">
        <v>207</v>
      </c>
      <c r="S15" s="117">
        <v>5618</v>
      </c>
      <c r="T15" s="117" t="s">
        <v>207</v>
      </c>
      <c r="U15" s="117">
        <v>6399</v>
      </c>
      <c r="V15" s="117" t="s">
        <v>207</v>
      </c>
      <c r="W15" s="117">
        <v>5333</v>
      </c>
      <c r="X15" s="117" t="s">
        <v>207</v>
      </c>
      <c r="Y15" s="117">
        <v>5173</v>
      </c>
      <c r="Z15" s="117" t="s">
        <v>207</v>
      </c>
      <c r="AA15" s="117">
        <v>6012</v>
      </c>
      <c r="AB15" s="117" t="s">
        <v>207</v>
      </c>
      <c r="AC15" s="117">
        <v>5193</v>
      </c>
      <c r="AD15" s="117" t="s">
        <v>207</v>
      </c>
      <c r="AE15" s="117">
        <v>5874</v>
      </c>
      <c r="AF15" s="117" t="s">
        <v>207</v>
      </c>
      <c r="AG15" s="117">
        <v>6071</v>
      </c>
      <c r="AH15" s="117" t="s">
        <v>207</v>
      </c>
      <c r="AI15" s="117">
        <v>6190</v>
      </c>
      <c r="AJ15" s="117" t="s">
        <v>207</v>
      </c>
      <c r="AK15" s="117">
        <v>5657</v>
      </c>
      <c r="AL15" s="117" t="s">
        <v>207</v>
      </c>
      <c r="AM15" s="117">
        <v>70114</v>
      </c>
    </row>
    <row r="16" spans="1:39" s="90" customFormat="1" ht="18" customHeight="1" x14ac:dyDescent="0.3">
      <c r="A16" s="432"/>
      <c r="B16" s="423"/>
      <c r="C16" s="120"/>
      <c r="D16" s="160"/>
      <c r="E16" s="31" t="s">
        <v>48</v>
      </c>
      <c r="F16" s="85" t="s">
        <v>49</v>
      </c>
      <c r="G16" s="174" t="s">
        <v>270</v>
      </c>
      <c r="H16" s="120">
        <v>880</v>
      </c>
      <c r="I16" s="160" t="s">
        <v>271</v>
      </c>
      <c r="J16" s="120">
        <v>16</v>
      </c>
      <c r="K16" s="116" t="s">
        <v>218</v>
      </c>
      <c r="L16" s="116" t="s">
        <v>218</v>
      </c>
      <c r="M16" s="119">
        <v>121041</v>
      </c>
      <c r="N16" s="119">
        <v>114297</v>
      </c>
      <c r="O16" s="119">
        <v>9497</v>
      </c>
      <c r="P16" s="119" t="s">
        <v>207</v>
      </c>
      <c r="Q16" s="119">
        <v>9394</v>
      </c>
      <c r="R16" s="119" t="s">
        <v>207</v>
      </c>
      <c r="S16" s="119">
        <v>8426</v>
      </c>
      <c r="T16" s="119" t="s">
        <v>207</v>
      </c>
      <c r="U16" s="119">
        <v>9598</v>
      </c>
      <c r="V16" s="119" t="s">
        <v>207</v>
      </c>
      <c r="W16" s="119">
        <v>7999</v>
      </c>
      <c r="X16" s="119" t="s">
        <v>207</v>
      </c>
      <c r="Y16" s="119">
        <v>7759</v>
      </c>
      <c r="Z16" s="119" t="s">
        <v>207</v>
      </c>
      <c r="AA16" s="119">
        <v>9018</v>
      </c>
      <c r="AB16" s="119" t="s">
        <v>207</v>
      </c>
      <c r="AC16" s="119">
        <v>7790</v>
      </c>
      <c r="AD16" s="119" t="s">
        <v>207</v>
      </c>
      <c r="AE16" s="119">
        <v>8811</v>
      </c>
      <c r="AF16" s="119" t="s">
        <v>207</v>
      </c>
      <c r="AG16" s="119">
        <v>9106</v>
      </c>
      <c r="AH16" s="119" t="s">
        <v>207</v>
      </c>
      <c r="AI16" s="119">
        <v>9285</v>
      </c>
      <c r="AJ16" s="119" t="s">
        <v>207</v>
      </c>
      <c r="AK16" s="119">
        <v>8485</v>
      </c>
      <c r="AL16" s="119" t="s">
        <v>207</v>
      </c>
      <c r="AM16" s="119">
        <v>105168</v>
      </c>
    </row>
    <row r="17" spans="1:39" s="97" customFormat="1" ht="18" customHeight="1" x14ac:dyDescent="0.3">
      <c r="A17" s="438">
        <v>4</v>
      </c>
      <c r="B17" s="422" t="s">
        <v>582</v>
      </c>
      <c r="C17" s="131" t="s">
        <v>240</v>
      </c>
      <c r="D17" s="155" t="s">
        <v>273</v>
      </c>
      <c r="E17" s="104" t="s">
        <v>144</v>
      </c>
      <c r="F17" s="96" t="s">
        <v>49</v>
      </c>
      <c r="G17" s="99" t="s">
        <v>280</v>
      </c>
      <c r="H17" s="93">
        <v>50</v>
      </c>
      <c r="I17" s="155" t="s">
        <v>281</v>
      </c>
      <c r="J17" s="107" t="s">
        <v>282</v>
      </c>
      <c r="K17" s="108" t="s">
        <v>218</v>
      </c>
      <c r="L17" s="108" t="s">
        <v>218</v>
      </c>
      <c r="M17" s="108">
        <v>58537</v>
      </c>
      <c r="N17" s="108">
        <v>58916</v>
      </c>
      <c r="O17" s="109">
        <v>4410</v>
      </c>
      <c r="P17" s="109" t="s">
        <v>207</v>
      </c>
      <c r="Q17" s="109">
        <v>5046</v>
      </c>
      <c r="R17" s="109" t="s">
        <v>207</v>
      </c>
      <c r="S17" s="109">
        <v>4774</v>
      </c>
      <c r="T17" s="109" t="s">
        <v>207</v>
      </c>
      <c r="U17" s="109">
        <v>3832</v>
      </c>
      <c r="V17" s="109" t="s">
        <v>207</v>
      </c>
      <c r="W17" s="109">
        <v>3963</v>
      </c>
      <c r="X17" s="109" t="s">
        <v>207</v>
      </c>
      <c r="Y17" s="109">
        <v>3403</v>
      </c>
      <c r="Z17" s="109" t="s">
        <v>207</v>
      </c>
      <c r="AA17" s="109">
        <v>3950</v>
      </c>
      <c r="AB17" s="109" t="s">
        <v>207</v>
      </c>
      <c r="AC17" s="109">
        <v>3932</v>
      </c>
      <c r="AD17" s="109" t="s">
        <v>207</v>
      </c>
      <c r="AE17" s="109">
        <v>4196</v>
      </c>
      <c r="AF17" s="109" t="s">
        <v>207</v>
      </c>
      <c r="AG17" s="109">
        <v>4256</v>
      </c>
      <c r="AH17" s="109" t="s">
        <v>207</v>
      </c>
      <c r="AI17" s="109">
        <v>4299</v>
      </c>
      <c r="AJ17" s="109" t="s">
        <v>207</v>
      </c>
      <c r="AK17" s="109">
        <v>3778</v>
      </c>
      <c r="AL17" s="109" t="s">
        <v>207</v>
      </c>
      <c r="AM17" s="109">
        <f>SUM(O17:AL17)</f>
        <v>49839</v>
      </c>
    </row>
    <row r="18" spans="1:39" s="106" customFormat="1" ht="18" customHeight="1" x14ac:dyDescent="0.3">
      <c r="A18" s="438"/>
      <c r="B18" s="423"/>
      <c r="C18" s="105"/>
      <c r="D18" s="161"/>
      <c r="E18" s="104" t="s">
        <v>48</v>
      </c>
      <c r="F18" s="96" t="s">
        <v>49</v>
      </c>
      <c r="G18" s="380"/>
      <c r="H18" s="105"/>
      <c r="I18" s="377"/>
      <c r="J18" s="110"/>
      <c r="K18" s="111"/>
      <c r="L18" s="111"/>
      <c r="M18" s="282"/>
      <c r="N18" s="282"/>
      <c r="O18" s="282"/>
      <c r="P18" s="282"/>
      <c r="Q18" s="282"/>
      <c r="R18" s="282"/>
      <c r="S18" s="282"/>
      <c r="T18" s="282"/>
      <c r="U18" s="282"/>
      <c r="V18" s="282"/>
      <c r="W18" s="282"/>
      <c r="X18" s="282"/>
      <c r="Y18" s="282"/>
      <c r="Z18" s="282"/>
      <c r="AA18" s="282"/>
      <c r="AB18" s="282"/>
      <c r="AC18" s="282"/>
      <c r="AD18" s="282"/>
      <c r="AE18" s="282"/>
      <c r="AF18" s="282"/>
      <c r="AG18" s="282"/>
      <c r="AH18" s="282"/>
      <c r="AI18" s="282"/>
      <c r="AJ18" s="282"/>
      <c r="AK18" s="282"/>
      <c r="AL18" s="282"/>
      <c r="AM18" s="282"/>
    </row>
    <row r="19" spans="1:39" s="86" customFormat="1" ht="18" customHeight="1" x14ac:dyDescent="0.3">
      <c r="A19" s="431">
        <v>5</v>
      </c>
      <c r="B19" s="422" t="s">
        <v>583</v>
      </c>
      <c r="C19" s="131" t="s">
        <v>240</v>
      </c>
      <c r="D19" s="159" t="s">
        <v>290</v>
      </c>
      <c r="E19" s="31" t="s">
        <v>144</v>
      </c>
      <c r="F19" s="85" t="s">
        <v>49</v>
      </c>
      <c r="G19" s="174" t="s">
        <v>291</v>
      </c>
      <c r="H19" s="118">
        <v>170</v>
      </c>
      <c r="I19" s="159" t="s">
        <v>292</v>
      </c>
      <c r="J19" s="118">
        <v>25</v>
      </c>
      <c r="K19" s="116" t="s">
        <v>218</v>
      </c>
      <c r="L19" s="116" t="s">
        <v>218</v>
      </c>
      <c r="M19" s="116"/>
      <c r="N19" s="116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</row>
    <row r="20" spans="1:39" s="90" customFormat="1" ht="18" customHeight="1" x14ac:dyDescent="0.3">
      <c r="A20" s="432"/>
      <c r="B20" s="423"/>
      <c r="C20" s="120"/>
      <c r="D20" s="160"/>
      <c r="E20" s="31" t="s">
        <v>48</v>
      </c>
      <c r="F20" s="85" t="s">
        <v>49</v>
      </c>
      <c r="G20" s="375"/>
      <c r="H20" s="120"/>
      <c r="I20" s="160"/>
      <c r="J20" s="120"/>
      <c r="K20" s="116"/>
      <c r="L20" s="116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</row>
    <row r="21" spans="1:39" customFormat="1" ht="18" customHeight="1" x14ac:dyDescent="0.3">
      <c r="A21" s="431">
        <v>6</v>
      </c>
      <c r="B21" s="422" t="s">
        <v>584</v>
      </c>
      <c r="C21" s="131" t="s">
        <v>240</v>
      </c>
      <c r="D21" s="159" t="s">
        <v>294</v>
      </c>
      <c r="E21" s="31" t="s">
        <v>144</v>
      </c>
      <c r="F21" s="85" t="s">
        <v>49</v>
      </c>
      <c r="G21" s="174"/>
      <c r="H21" s="118"/>
      <c r="I21" s="159"/>
      <c r="J21" s="118"/>
      <c r="K21" s="116" t="s">
        <v>218</v>
      </c>
      <c r="L21" s="116" t="s">
        <v>218</v>
      </c>
      <c r="M21" s="116">
        <v>28640</v>
      </c>
      <c r="N21" s="116">
        <v>26180</v>
      </c>
      <c r="O21" s="117">
        <v>2080</v>
      </c>
      <c r="P21" s="117" t="s">
        <v>207</v>
      </c>
      <c r="Q21" s="117">
        <v>2200</v>
      </c>
      <c r="R21" s="117" t="s">
        <v>207</v>
      </c>
      <c r="S21" s="117">
        <v>1940</v>
      </c>
      <c r="T21" s="117" t="s">
        <v>298</v>
      </c>
      <c r="U21" s="117">
        <v>1613</v>
      </c>
      <c r="V21" s="117" t="s">
        <v>207</v>
      </c>
      <c r="W21" s="117">
        <v>2020</v>
      </c>
      <c r="X21" s="117" t="s">
        <v>207</v>
      </c>
      <c r="Y21" s="117">
        <v>2080</v>
      </c>
      <c r="Z21" s="117" t="s">
        <v>207</v>
      </c>
      <c r="AA21" s="117">
        <v>1700</v>
      </c>
      <c r="AB21" s="117" t="s">
        <v>207</v>
      </c>
      <c r="AC21" s="117">
        <v>1800</v>
      </c>
      <c r="AD21" s="117" t="s">
        <v>207</v>
      </c>
      <c r="AE21" s="117">
        <v>1500</v>
      </c>
      <c r="AF21" s="117" t="s">
        <v>207</v>
      </c>
      <c r="AG21" s="117">
        <v>2340</v>
      </c>
      <c r="AH21" s="117" t="s">
        <v>207</v>
      </c>
      <c r="AI21" s="117">
        <v>2020</v>
      </c>
      <c r="AJ21" s="117" t="s">
        <v>207</v>
      </c>
      <c r="AK21" s="117">
        <v>1940</v>
      </c>
      <c r="AL21" s="117" t="s">
        <v>207</v>
      </c>
      <c r="AM21" s="117">
        <v>23233</v>
      </c>
    </row>
    <row r="22" spans="1:39" customFormat="1" ht="18" customHeight="1" x14ac:dyDescent="0.3">
      <c r="A22" s="432"/>
      <c r="B22" s="423"/>
      <c r="C22" s="120"/>
      <c r="D22" s="160"/>
      <c r="E22" s="31" t="s">
        <v>48</v>
      </c>
      <c r="F22" s="85" t="s">
        <v>49</v>
      </c>
      <c r="G22" s="174" t="s">
        <v>299</v>
      </c>
      <c r="H22" s="118">
        <v>603</v>
      </c>
      <c r="I22" s="159" t="s">
        <v>300</v>
      </c>
      <c r="J22" s="118">
        <v>22</v>
      </c>
      <c r="K22" s="116"/>
      <c r="L22" s="116"/>
      <c r="M22" s="119">
        <v>60911</v>
      </c>
      <c r="N22" s="119">
        <v>51843</v>
      </c>
      <c r="O22" s="119">
        <v>6263</v>
      </c>
      <c r="P22" s="119" t="s">
        <v>207</v>
      </c>
      <c r="Q22" s="119">
        <v>6036</v>
      </c>
      <c r="R22" s="119" t="s">
        <v>207</v>
      </c>
      <c r="S22" s="119">
        <v>4037</v>
      </c>
      <c r="T22" s="119" t="s">
        <v>298</v>
      </c>
      <c r="U22" s="119">
        <v>2771</v>
      </c>
      <c r="V22" s="117" t="s">
        <v>207</v>
      </c>
      <c r="W22" s="119">
        <v>899</v>
      </c>
      <c r="X22" s="117" t="s">
        <v>207</v>
      </c>
      <c r="Y22" s="119">
        <v>644</v>
      </c>
      <c r="Z22" s="117" t="s">
        <v>207</v>
      </c>
      <c r="AA22" s="119">
        <v>630</v>
      </c>
      <c r="AB22" s="117" t="s">
        <v>207</v>
      </c>
      <c r="AC22" s="119">
        <v>736</v>
      </c>
      <c r="AD22" s="117" t="s">
        <v>207</v>
      </c>
      <c r="AE22" s="119">
        <v>1013</v>
      </c>
      <c r="AF22" s="117" t="s">
        <v>207</v>
      </c>
      <c r="AG22" s="119">
        <v>1213</v>
      </c>
      <c r="AH22" s="117" t="s">
        <v>207</v>
      </c>
      <c r="AI22" s="119">
        <v>1468</v>
      </c>
      <c r="AJ22" s="117" t="s">
        <v>207</v>
      </c>
      <c r="AK22" s="119">
        <v>1501</v>
      </c>
      <c r="AL22" s="117" t="s">
        <v>207</v>
      </c>
      <c r="AM22" s="119">
        <v>27211</v>
      </c>
    </row>
    <row r="23" spans="1:39" s="86" customFormat="1" ht="18" customHeight="1" x14ac:dyDescent="0.3">
      <c r="A23" s="431">
        <v>7</v>
      </c>
      <c r="B23" s="422" t="s">
        <v>585</v>
      </c>
      <c r="C23" s="131" t="s">
        <v>240</v>
      </c>
      <c r="D23" s="159" t="s">
        <v>334</v>
      </c>
      <c r="E23" s="31" t="s">
        <v>144</v>
      </c>
      <c r="F23" s="85" t="s">
        <v>49</v>
      </c>
      <c r="G23" s="174" t="s">
        <v>299</v>
      </c>
      <c r="H23" s="118">
        <v>211</v>
      </c>
      <c r="I23" s="159" t="s">
        <v>299</v>
      </c>
      <c r="J23" s="118">
        <v>5</v>
      </c>
      <c r="K23" s="116" t="s">
        <v>218</v>
      </c>
      <c r="L23" s="116" t="s">
        <v>218</v>
      </c>
      <c r="M23" s="116">
        <v>23413</v>
      </c>
      <c r="N23" s="116">
        <v>22224</v>
      </c>
      <c r="O23" s="117">
        <v>1831</v>
      </c>
      <c r="P23" s="117" t="s">
        <v>207</v>
      </c>
      <c r="Q23" s="117">
        <v>1833</v>
      </c>
      <c r="R23" s="117" t="s">
        <v>207</v>
      </c>
      <c r="S23" s="117">
        <v>1853</v>
      </c>
      <c r="T23" s="117" t="s">
        <v>207</v>
      </c>
      <c r="U23" s="117">
        <v>3556</v>
      </c>
      <c r="V23" s="117" t="s">
        <v>207</v>
      </c>
      <c r="W23" s="117">
        <v>1051</v>
      </c>
      <c r="X23" s="117" t="s">
        <v>207</v>
      </c>
      <c r="Y23" s="117">
        <v>547</v>
      </c>
      <c r="Z23" s="117" t="s">
        <v>207</v>
      </c>
      <c r="AA23" s="117">
        <v>1375</v>
      </c>
      <c r="AB23" s="117" t="s">
        <v>207</v>
      </c>
      <c r="AC23" s="117">
        <v>1706</v>
      </c>
      <c r="AD23" s="117" t="s">
        <v>207</v>
      </c>
      <c r="AE23" s="117">
        <v>1629</v>
      </c>
      <c r="AF23" s="117" t="s">
        <v>207</v>
      </c>
      <c r="AG23" s="117">
        <v>2547</v>
      </c>
      <c r="AH23" s="117" t="s">
        <v>207</v>
      </c>
      <c r="AI23" s="117">
        <v>1413</v>
      </c>
      <c r="AJ23" s="117" t="s">
        <v>207</v>
      </c>
      <c r="AK23" s="117">
        <v>1864</v>
      </c>
      <c r="AL23" s="117" t="s">
        <v>207</v>
      </c>
      <c r="AM23" s="117">
        <v>21205</v>
      </c>
    </row>
    <row r="24" spans="1:39" s="90" customFormat="1" ht="18" customHeight="1" x14ac:dyDescent="0.3">
      <c r="A24" s="432"/>
      <c r="B24" s="423"/>
      <c r="C24" s="120"/>
      <c r="D24" s="160"/>
      <c r="E24" s="31" t="s">
        <v>48</v>
      </c>
      <c r="F24" s="85" t="s">
        <v>49</v>
      </c>
      <c r="G24" s="375"/>
      <c r="H24" s="120"/>
      <c r="I24" s="160"/>
      <c r="J24" s="120"/>
      <c r="K24" s="116"/>
      <c r="L24" s="116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</row>
    <row r="25" spans="1:39" s="86" customFormat="1" ht="18" customHeight="1" x14ac:dyDescent="0.3">
      <c r="A25" s="431">
        <v>8</v>
      </c>
      <c r="B25" s="422" t="s">
        <v>586</v>
      </c>
      <c r="C25" s="118" t="s">
        <v>240</v>
      </c>
      <c r="D25" s="160" t="s">
        <v>321</v>
      </c>
      <c r="E25" s="31" t="s">
        <v>144</v>
      </c>
      <c r="F25" s="85" t="s">
        <v>49</v>
      </c>
      <c r="G25" s="174">
        <v>0</v>
      </c>
      <c r="H25" s="118">
        <v>0</v>
      </c>
      <c r="I25" s="159">
        <v>0</v>
      </c>
      <c r="J25" s="118">
        <v>0</v>
      </c>
      <c r="K25" s="116" t="s">
        <v>218</v>
      </c>
      <c r="L25" s="116" t="s">
        <v>218</v>
      </c>
      <c r="M25" s="87" t="s">
        <v>325</v>
      </c>
      <c r="N25" s="116">
        <v>0</v>
      </c>
      <c r="O25" s="117">
        <v>0</v>
      </c>
      <c r="P25" s="117">
        <v>0</v>
      </c>
      <c r="Q25" s="117">
        <v>0</v>
      </c>
      <c r="R25" s="117">
        <v>0</v>
      </c>
      <c r="S25" s="117">
        <v>0</v>
      </c>
      <c r="T25" s="117">
        <v>0</v>
      </c>
      <c r="U25" s="117">
        <v>0</v>
      </c>
      <c r="V25" s="117">
        <v>0</v>
      </c>
      <c r="W25" s="117">
        <v>0</v>
      </c>
      <c r="X25" s="117">
        <v>0</v>
      </c>
      <c r="Y25" s="117">
        <v>0</v>
      </c>
      <c r="Z25" s="117">
        <v>0</v>
      </c>
      <c r="AA25" s="117">
        <v>0</v>
      </c>
      <c r="AB25" s="117">
        <v>0</v>
      </c>
      <c r="AC25" s="117">
        <v>0</v>
      </c>
      <c r="AD25" s="117">
        <v>0</v>
      </c>
      <c r="AE25" s="117">
        <v>0</v>
      </c>
      <c r="AF25" s="117">
        <v>0</v>
      </c>
      <c r="AG25" s="117">
        <v>0</v>
      </c>
      <c r="AH25" s="117">
        <v>0</v>
      </c>
      <c r="AI25" s="117">
        <v>0</v>
      </c>
      <c r="AJ25" s="117">
        <v>0</v>
      </c>
      <c r="AK25" s="117">
        <v>0</v>
      </c>
      <c r="AL25" s="117">
        <v>0</v>
      </c>
      <c r="AM25" s="117">
        <f>AK25+AI25+AG25+AE25+AC25+AA25+Y25+W25+U25+S25+Q25+O25</f>
        <v>0</v>
      </c>
    </row>
    <row r="26" spans="1:39" s="90" customFormat="1" ht="18" customHeight="1" x14ac:dyDescent="0.3">
      <c r="A26" s="432"/>
      <c r="B26" s="423"/>
      <c r="C26" s="120" t="s">
        <v>240</v>
      </c>
      <c r="D26" s="160" t="s">
        <v>321</v>
      </c>
      <c r="E26" s="31" t="s">
        <v>48</v>
      </c>
      <c r="F26" s="85" t="s">
        <v>49</v>
      </c>
      <c r="G26" s="375" t="s">
        <v>335</v>
      </c>
      <c r="H26" s="120">
        <v>40</v>
      </c>
      <c r="I26" s="160" t="s">
        <v>336</v>
      </c>
      <c r="J26" s="120">
        <v>8</v>
      </c>
      <c r="K26" s="116" t="s">
        <v>218</v>
      </c>
      <c r="L26" s="116" t="s">
        <v>218</v>
      </c>
      <c r="M26" s="89" t="s">
        <v>325</v>
      </c>
      <c r="N26" s="119">
        <v>4467</v>
      </c>
      <c r="O26" s="119">
        <v>902</v>
      </c>
      <c r="P26" s="119" t="s">
        <v>207</v>
      </c>
      <c r="Q26" s="119">
        <v>872</v>
      </c>
      <c r="R26" s="119" t="s">
        <v>207</v>
      </c>
      <c r="S26" s="119">
        <v>739</v>
      </c>
      <c r="T26" s="119" t="s">
        <v>207</v>
      </c>
      <c r="U26" s="119">
        <v>604</v>
      </c>
      <c r="V26" s="119" t="s">
        <v>207</v>
      </c>
      <c r="W26" s="119">
        <v>571</v>
      </c>
      <c r="X26" s="119" t="s">
        <v>207</v>
      </c>
      <c r="Y26" s="119">
        <v>575</v>
      </c>
      <c r="Z26" s="119" t="s">
        <v>207</v>
      </c>
      <c r="AA26" s="119">
        <v>571</v>
      </c>
      <c r="AB26" s="119" t="s">
        <v>207</v>
      </c>
      <c r="AC26" s="119">
        <v>580</v>
      </c>
      <c r="AD26" s="119" t="s">
        <v>207</v>
      </c>
      <c r="AE26" s="119">
        <v>671</v>
      </c>
      <c r="AF26" s="119" t="s">
        <v>207</v>
      </c>
      <c r="AG26" s="119">
        <v>618</v>
      </c>
      <c r="AH26" s="119" t="s">
        <v>207</v>
      </c>
      <c r="AI26" s="119">
        <v>895</v>
      </c>
      <c r="AJ26" s="119" t="s">
        <v>207</v>
      </c>
      <c r="AK26" s="119">
        <v>894</v>
      </c>
      <c r="AL26" s="119" t="s">
        <v>207</v>
      </c>
      <c r="AM26" s="119">
        <f>AK26+AI26+AG26+AE26+AC26+AA26+Y26+W26+U26+S26+Q26+O26</f>
        <v>8492</v>
      </c>
    </row>
    <row r="27" spans="1:39" s="90" customFormat="1" ht="18" customHeight="1" x14ac:dyDescent="0.3">
      <c r="A27" s="431">
        <v>9</v>
      </c>
      <c r="B27" s="422" t="s">
        <v>587</v>
      </c>
      <c r="C27" s="120" t="s">
        <v>240</v>
      </c>
      <c r="D27" s="160" t="s">
        <v>328</v>
      </c>
      <c r="E27" s="31" t="s">
        <v>144</v>
      </c>
      <c r="F27" s="85" t="s">
        <v>49</v>
      </c>
      <c r="G27" s="375">
        <v>0</v>
      </c>
      <c r="H27" s="120">
        <v>0</v>
      </c>
      <c r="I27" s="160">
        <v>0</v>
      </c>
      <c r="J27" s="120">
        <v>0</v>
      </c>
      <c r="K27" s="116" t="s">
        <v>218</v>
      </c>
      <c r="L27" s="116" t="s">
        <v>218</v>
      </c>
      <c r="M27" s="89" t="s">
        <v>325</v>
      </c>
      <c r="N27" s="119">
        <f>1357+1285+1264+988+1015+422+416+731+791+907+1329+1937</f>
        <v>12442</v>
      </c>
      <c r="O27" s="119">
        <v>0</v>
      </c>
      <c r="P27" s="119">
        <v>0</v>
      </c>
      <c r="Q27" s="119">
        <v>0</v>
      </c>
      <c r="R27" s="119">
        <v>0</v>
      </c>
      <c r="S27" s="119">
        <v>0</v>
      </c>
      <c r="T27" s="119">
        <v>0</v>
      </c>
      <c r="U27" s="119">
        <v>0</v>
      </c>
      <c r="V27" s="119">
        <v>0</v>
      </c>
      <c r="W27" s="119">
        <v>0</v>
      </c>
      <c r="X27" s="119">
        <v>0</v>
      </c>
      <c r="Y27" s="119">
        <v>0</v>
      </c>
      <c r="Z27" s="119">
        <v>0</v>
      </c>
      <c r="AA27" s="119">
        <v>0</v>
      </c>
      <c r="AB27" s="119">
        <v>0</v>
      </c>
      <c r="AC27" s="119">
        <v>0</v>
      </c>
      <c r="AD27" s="119">
        <v>0</v>
      </c>
      <c r="AE27" s="119">
        <v>0</v>
      </c>
      <c r="AF27" s="119">
        <v>0</v>
      </c>
      <c r="AG27" s="119">
        <v>0</v>
      </c>
      <c r="AH27" s="119">
        <v>0</v>
      </c>
      <c r="AI27" s="119">
        <v>0</v>
      </c>
      <c r="AJ27" s="119">
        <v>0</v>
      </c>
      <c r="AK27" s="119">
        <v>0</v>
      </c>
      <c r="AL27" s="119">
        <v>0</v>
      </c>
      <c r="AM27" s="119">
        <f>AK27+AI27+AG27+AE27+AC27+AA27+Y27+W27+U27+S27+Q27+O27</f>
        <v>0</v>
      </c>
    </row>
    <row r="28" spans="1:39" s="90" customFormat="1" ht="18" customHeight="1" x14ac:dyDescent="0.3">
      <c r="A28" s="432"/>
      <c r="B28" s="423"/>
      <c r="C28" s="120" t="s">
        <v>240</v>
      </c>
      <c r="D28" s="160" t="s">
        <v>328</v>
      </c>
      <c r="E28" s="31" t="s">
        <v>48</v>
      </c>
      <c r="F28" s="85" t="s">
        <v>49</v>
      </c>
      <c r="G28" s="375" t="s">
        <v>337</v>
      </c>
      <c r="H28" s="120">
        <v>45</v>
      </c>
      <c r="I28" s="160" t="s">
        <v>337</v>
      </c>
      <c r="J28" s="120">
        <v>9</v>
      </c>
      <c r="K28" s="116" t="s">
        <v>218</v>
      </c>
      <c r="L28" s="116" t="s">
        <v>218</v>
      </c>
      <c r="M28" s="89" t="s">
        <v>325</v>
      </c>
      <c r="N28" s="119">
        <v>0</v>
      </c>
      <c r="O28" s="119">
        <v>1500</v>
      </c>
      <c r="P28" s="119" t="s">
        <v>207</v>
      </c>
      <c r="Q28" s="119">
        <v>1253</v>
      </c>
      <c r="R28" s="119" t="s">
        <v>207</v>
      </c>
      <c r="S28" s="119">
        <v>955</v>
      </c>
      <c r="T28" s="119" t="s">
        <v>207</v>
      </c>
      <c r="U28" s="119">
        <v>960</v>
      </c>
      <c r="V28" s="119" t="s">
        <v>207</v>
      </c>
      <c r="W28" s="119">
        <v>520</v>
      </c>
      <c r="X28" s="119" t="s">
        <v>207</v>
      </c>
      <c r="Y28" s="119">
        <v>502</v>
      </c>
      <c r="Z28" s="119" t="s">
        <v>207</v>
      </c>
      <c r="AA28" s="119">
        <v>428</v>
      </c>
      <c r="AB28" s="119" t="s">
        <v>207</v>
      </c>
      <c r="AC28" s="119">
        <v>611</v>
      </c>
      <c r="AD28" s="119" t="s">
        <v>207</v>
      </c>
      <c r="AE28" s="119">
        <v>873</v>
      </c>
      <c r="AF28" s="119" t="s">
        <v>207</v>
      </c>
      <c r="AG28" s="119">
        <v>878</v>
      </c>
      <c r="AH28" s="119" t="s">
        <v>207</v>
      </c>
      <c r="AI28" s="119">
        <v>1631</v>
      </c>
      <c r="AJ28" s="119" t="s">
        <v>207</v>
      </c>
      <c r="AK28" s="119">
        <v>1378</v>
      </c>
      <c r="AL28" s="119" t="s">
        <v>207</v>
      </c>
      <c r="AM28" s="119">
        <f>AK28+AI28+AG28+AE28+AC28+AA28+Y28+W28+U28+S28+Q28+O28</f>
        <v>11489</v>
      </c>
    </row>
    <row r="29" spans="1:39" s="90" customFormat="1" ht="18" customHeight="1" x14ac:dyDescent="0.3">
      <c r="A29" s="431">
        <v>10</v>
      </c>
      <c r="B29" s="422" t="s">
        <v>588</v>
      </c>
      <c r="C29" s="120" t="s">
        <v>240</v>
      </c>
      <c r="D29" s="160" t="s">
        <v>330</v>
      </c>
      <c r="E29" s="31" t="s">
        <v>144</v>
      </c>
      <c r="F29" s="85" t="s">
        <v>49</v>
      </c>
      <c r="G29" s="375" t="s">
        <v>337</v>
      </c>
      <c r="H29" s="120">
        <v>6</v>
      </c>
      <c r="I29" s="160" t="s">
        <v>337</v>
      </c>
      <c r="J29" s="120">
        <v>6</v>
      </c>
      <c r="K29" s="116" t="s">
        <v>218</v>
      </c>
      <c r="L29" s="116" t="s">
        <v>218</v>
      </c>
      <c r="M29" s="89" t="s">
        <v>325</v>
      </c>
      <c r="N29" s="119">
        <f>922+794+1005+231+977+901+1027+232+644+763+1075+224+423+628+982+209+298+481+822+207+358+406+945+234+221+939+403+196+249+1199+781+291+211+998+810+398+210+954+895+635+977+1048+1150+260+1572+1244+1187+275</f>
        <v>31891</v>
      </c>
      <c r="O29" s="119">
        <v>0</v>
      </c>
      <c r="P29" s="119">
        <v>0</v>
      </c>
      <c r="Q29" s="119">
        <v>0</v>
      </c>
      <c r="R29" s="119">
        <v>0</v>
      </c>
      <c r="S29" s="119">
        <v>0</v>
      </c>
      <c r="T29" s="119">
        <v>0</v>
      </c>
      <c r="U29" s="119">
        <v>0</v>
      </c>
      <c r="V29" s="119">
        <v>0</v>
      </c>
      <c r="W29" s="119">
        <v>0</v>
      </c>
      <c r="X29" s="119">
        <v>0</v>
      </c>
      <c r="Y29" s="119">
        <v>0</v>
      </c>
      <c r="Z29" s="119">
        <v>0</v>
      </c>
      <c r="AA29" s="119">
        <v>0</v>
      </c>
      <c r="AB29" s="119">
        <v>0</v>
      </c>
      <c r="AC29" s="119">
        <v>0</v>
      </c>
      <c r="AD29" s="119">
        <v>0</v>
      </c>
      <c r="AE29" s="119">
        <v>0</v>
      </c>
      <c r="AF29" s="119">
        <v>0</v>
      </c>
      <c r="AG29" s="119">
        <v>0</v>
      </c>
      <c r="AH29" s="119">
        <v>0</v>
      </c>
      <c r="AI29" s="119">
        <v>0</v>
      </c>
      <c r="AJ29" s="119">
        <v>0</v>
      </c>
      <c r="AK29" s="119">
        <v>0</v>
      </c>
      <c r="AL29" s="119" t="s">
        <v>207</v>
      </c>
      <c r="AM29" s="119">
        <f>AI29+AG29+AE29+AC29+AA29+Y29+W29+U29+S29+Q29+O29</f>
        <v>0</v>
      </c>
    </row>
    <row r="30" spans="1:39" s="90" customFormat="1" ht="18" customHeight="1" x14ac:dyDescent="0.3">
      <c r="A30" s="432"/>
      <c r="B30" s="423"/>
      <c r="C30" s="120" t="s">
        <v>240</v>
      </c>
      <c r="D30" s="160" t="s">
        <v>330</v>
      </c>
      <c r="E30" s="31" t="s">
        <v>48</v>
      </c>
      <c r="F30" s="85" t="s">
        <v>49</v>
      </c>
      <c r="G30" s="375" t="s">
        <v>337</v>
      </c>
      <c r="H30" s="120">
        <f>28*6</f>
        <v>168</v>
      </c>
      <c r="I30" s="160" t="s">
        <v>337</v>
      </c>
      <c r="J30" s="120">
        <v>6</v>
      </c>
      <c r="K30" s="116" t="s">
        <v>218</v>
      </c>
      <c r="L30" s="116" t="s">
        <v>218</v>
      </c>
      <c r="M30" s="89" t="s">
        <v>325</v>
      </c>
      <c r="N30" s="119">
        <v>0</v>
      </c>
      <c r="O30" s="119">
        <v>3133</v>
      </c>
      <c r="P30" s="119" t="s">
        <v>207</v>
      </c>
      <c r="Q30" s="119">
        <v>3018</v>
      </c>
      <c r="R30" s="119" t="s">
        <v>207</v>
      </c>
      <c r="S30" s="119">
        <v>2604</v>
      </c>
      <c r="T30" s="119" t="s">
        <v>207</v>
      </c>
      <c r="U30" s="119">
        <v>2540</v>
      </c>
      <c r="V30" s="119" t="s">
        <v>207</v>
      </c>
      <c r="W30" s="119">
        <v>1782</v>
      </c>
      <c r="X30" s="119" t="s">
        <v>207</v>
      </c>
      <c r="Y30" s="119">
        <v>1590</v>
      </c>
      <c r="Z30" s="119" t="s">
        <v>207</v>
      </c>
      <c r="AA30" s="119">
        <v>1739</v>
      </c>
      <c r="AB30" s="119" t="s">
        <v>207</v>
      </c>
      <c r="AC30" s="119">
        <v>1679</v>
      </c>
      <c r="AD30" s="119" t="s">
        <v>207</v>
      </c>
      <c r="AE30" s="119">
        <v>2282</v>
      </c>
      <c r="AF30" s="119" t="s">
        <v>207</v>
      </c>
      <c r="AG30" s="119">
        <v>3491</v>
      </c>
      <c r="AH30" s="119" t="s">
        <v>207</v>
      </c>
      <c r="AI30" s="119">
        <v>1274</v>
      </c>
      <c r="AJ30" s="119" t="s">
        <v>207</v>
      </c>
      <c r="AK30" s="119">
        <v>0</v>
      </c>
      <c r="AL30" s="119" t="s">
        <v>207</v>
      </c>
      <c r="AM30" s="119">
        <f>AI30+AG30+AE30+AC30+AA30+Y30+W30+U30+S30+Q30+O30</f>
        <v>25132</v>
      </c>
    </row>
    <row r="31" spans="1:39" s="90" customFormat="1" ht="18" customHeight="1" x14ac:dyDescent="0.3">
      <c r="A31" s="431">
        <v>11</v>
      </c>
      <c r="B31" s="422" t="s">
        <v>589</v>
      </c>
      <c r="C31" s="120" t="s">
        <v>240</v>
      </c>
      <c r="D31" s="160" t="s">
        <v>331</v>
      </c>
      <c r="E31" s="31" t="s">
        <v>144</v>
      </c>
      <c r="F31" s="85" t="s">
        <v>49</v>
      </c>
      <c r="G31" s="375">
        <v>0</v>
      </c>
      <c r="H31" s="120">
        <v>0</v>
      </c>
      <c r="I31" s="160">
        <v>0</v>
      </c>
      <c r="J31" s="120">
        <v>0</v>
      </c>
      <c r="K31" s="119" t="s">
        <v>218</v>
      </c>
      <c r="L31" s="119" t="s">
        <v>218</v>
      </c>
      <c r="M31" s="89" t="s">
        <v>325</v>
      </c>
      <c r="N31" s="119">
        <f>416+295+408+319+355+343+201+333+87+190+71+220+47+164+109+285+303+173+280+266+404+323+691+442</f>
        <v>6725</v>
      </c>
      <c r="O31" s="121">
        <v>0</v>
      </c>
      <c r="P31" s="119">
        <v>0</v>
      </c>
      <c r="Q31" s="119">
        <v>0</v>
      </c>
      <c r="R31" s="119">
        <v>0</v>
      </c>
      <c r="S31" s="119">
        <v>0</v>
      </c>
      <c r="T31" s="119">
        <v>0</v>
      </c>
      <c r="U31" s="119">
        <v>0</v>
      </c>
      <c r="V31" s="119">
        <v>0</v>
      </c>
      <c r="W31" s="119">
        <v>0</v>
      </c>
      <c r="X31" s="119">
        <v>0</v>
      </c>
      <c r="Y31" s="119">
        <v>0</v>
      </c>
      <c r="Z31" s="119">
        <v>0</v>
      </c>
      <c r="AA31" s="119">
        <v>0</v>
      </c>
      <c r="AB31" s="119">
        <v>0</v>
      </c>
      <c r="AC31" s="119">
        <v>0</v>
      </c>
      <c r="AD31" s="119">
        <v>0</v>
      </c>
      <c r="AE31" s="119">
        <v>0</v>
      </c>
      <c r="AF31" s="119">
        <v>0</v>
      </c>
      <c r="AG31" s="119">
        <v>0</v>
      </c>
      <c r="AH31" s="119">
        <v>0</v>
      </c>
      <c r="AI31" s="119">
        <v>0</v>
      </c>
      <c r="AJ31" s="119">
        <v>0</v>
      </c>
      <c r="AK31" s="119">
        <v>0</v>
      </c>
      <c r="AL31" s="119">
        <v>0</v>
      </c>
      <c r="AM31" s="119">
        <f t="shared" ref="AM31:AM36" si="0">AK31+AI31+AG31+AE31+AC31+AA31+Y31+W31+U31+S31+Q31+O31</f>
        <v>0</v>
      </c>
    </row>
    <row r="32" spans="1:39" s="90" customFormat="1" ht="18" customHeight="1" x14ac:dyDescent="0.3">
      <c r="A32" s="432"/>
      <c r="B32" s="423"/>
      <c r="C32" s="120" t="s">
        <v>240</v>
      </c>
      <c r="D32" s="160" t="s">
        <v>331</v>
      </c>
      <c r="E32" s="31" t="s">
        <v>48</v>
      </c>
      <c r="F32" s="85" t="s">
        <v>49</v>
      </c>
      <c r="G32" s="375" t="s">
        <v>337</v>
      </c>
      <c r="H32" s="120">
        <v>30</v>
      </c>
      <c r="I32" s="160" t="s">
        <v>337</v>
      </c>
      <c r="J32" s="120">
        <v>6</v>
      </c>
      <c r="K32" s="119" t="s">
        <v>218</v>
      </c>
      <c r="L32" s="119" t="s">
        <v>218</v>
      </c>
      <c r="M32" s="89" t="s">
        <v>325</v>
      </c>
      <c r="N32" s="119">
        <v>0</v>
      </c>
      <c r="O32" s="121">
        <v>775</v>
      </c>
      <c r="P32" s="119" t="s">
        <v>207</v>
      </c>
      <c r="Q32" s="119">
        <v>569</v>
      </c>
      <c r="R32" s="119" t="s">
        <v>207</v>
      </c>
      <c r="S32" s="119">
        <v>457</v>
      </c>
      <c r="T32" s="119" t="s">
        <v>207</v>
      </c>
      <c r="U32" s="119">
        <v>327</v>
      </c>
      <c r="V32" s="119" t="s">
        <v>207</v>
      </c>
      <c r="W32" s="119">
        <v>253</v>
      </c>
      <c r="X32" s="119" t="s">
        <v>207</v>
      </c>
      <c r="Y32" s="119">
        <v>248</v>
      </c>
      <c r="Z32" s="119" t="s">
        <v>207</v>
      </c>
      <c r="AA32" s="119">
        <v>164</v>
      </c>
      <c r="AB32" s="119" t="s">
        <v>207</v>
      </c>
      <c r="AC32" s="119">
        <v>199</v>
      </c>
      <c r="AD32" s="119" t="s">
        <v>207</v>
      </c>
      <c r="AE32" s="119">
        <v>352</v>
      </c>
      <c r="AF32" s="119" t="s">
        <v>207</v>
      </c>
      <c r="AG32" s="119">
        <v>518</v>
      </c>
      <c r="AH32" s="119" t="s">
        <v>207</v>
      </c>
      <c r="AI32" s="119">
        <v>803</v>
      </c>
      <c r="AJ32" s="119" t="s">
        <v>207</v>
      </c>
      <c r="AK32" s="119">
        <v>729</v>
      </c>
      <c r="AL32" s="119" t="s">
        <v>207</v>
      </c>
      <c r="AM32" s="119">
        <f t="shared" si="0"/>
        <v>5394</v>
      </c>
    </row>
    <row r="33" spans="1:39" s="90" customFormat="1" ht="18" customHeight="1" x14ac:dyDescent="0.3">
      <c r="A33" s="431">
        <v>12</v>
      </c>
      <c r="B33" s="422" t="s">
        <v>590</v>
      </c>
      <c r="C33" s="120" t="s">
        <v>240</v>
      </c>
      <c r="D33" s="160" t="s">
        <v>332</v>
      </c>
      <c r="E33" s="31" t="s">
        <v>144</v>
      </c>
      <c r="F33" s="85" t="s">
        <v>49</v>
      </c>
      <c r="G33" s="375">
        <v>0</v>
      </c>
      <c r="H33" s="120">
        <v>0</v>
      </c>
      <c r="I33" s="160">
        <v>0</v>
      </c>
      <c r="J33" s="120">
        <v>0</v>
      </c>
      <c r="K33" s="119" t="s">
        <v>218</v>
      </c>
      <c r="L33" s="119" t="s">
        <v>218</v>
      </c>
      <c r="M33" s="89" t="s">
        <v>325</v>
      </c>
      <c r="N33" s="119">
        <f>536+477+446+461+320+474+146+343+71+270+83+343+108+366+350+386+375+466+456+483+711+654+988+738</f>
        <v>10051</v>
      </c>
      <c r="O33" s="121">
        <v>0</v>
      </c>
      <c r="P33" s="119">
        <v>0</v>
      </c>
      <c r="Q33" s="119">
        <v>0</v>
      </c>
      <c r="R33" s="119">
        <v>0</v>
      </c>
      <c r="S33" s="119">
        <v>0</v>
      </c>
      <c r="T33" s="119">
        <v>0</v>
      </c>
      <c r="U33" s="119">
        <v>0</v>
      </c>
      <c r="V33" s="119" t="s">
        <v>207</v>
      </c>
      <c r="W33" s="119">
        <v>0</v>
      </c>
      <c r="X33" s="119">
        <v>0</v>
      </c>
      <c r="Y33" s="119">
        <v>0</v>
      </c>
      <c r="Z33" s="119">
        <v>0</v>
      </c>
      <c r="AA33" s="119">
        <v>0</v>
      </c>
      <c r="AB33" s="119">
        <v>0</v>
      </c>
      <c r="AC33" s="119">
        <v>0</v>
      </c>
      <c r="AD33" s="119">
        <v>0</v>
      </c>
      <c r="AE33" s="119">
        <v>0</v>
      </c>
      <c r="AF33" s="119">
        <v>0</v>
      </c>
      <c r="AG33" s="119">
        <v>0</v>
      </c>
      <c r="AH33" s="119">
        <v>0</v>
      </c>
      <c r="AI33" s="119">
        <v>0</v>
      </c>
      <c r="AJ33" s="119">
        <v>0</v>
      </c>
      <c r="AK33" s="119">
        <v>0</v>
      </c>
      <c r="AL33" s="119">
        <v>0</v>
      </c>
      <c r="AM33" s="119">
        <f t="shared" si="0"/>
        <v>0</v>
      </c>
    </row>
    <row r="34" spans="1:39" s="90" customFormat="1" ht="18" customHeight="1" x14ac:dyDescent="0.3">
      <c r="A34" s="432"/>
      <c r="B34" s="423"/>
      <c r="C34" s="120" t="s">
        <v>240</v>
      </c>
      <c r="D34" s="160" t="s">
        <v>332</v>
      </c>
      <c r="E34" s="31" t="s">
        <v>48</v>
      </c>
      <c r="F34" s="85" t="s">
        <v>49</v>
      </c>
      <c r="G34" s="375" t="s">
        <v>337</v>
      </c>
      <c r="H34" s="120">
        <v>45</v>
      </c>
      <c r="I34" s="160" t="s">
        <v>337</v>
      </c>
      <c r="J34" s="120">
        <v>9</v>
      </c>
      <c r="K34" s="119" t="s">
        <v>218</v>
      </c>
      <c r="L34" s="119" t="s">
        <v>218</v>
      </c>
      <c r="M34" s="89" t="s">
        <v>325</v>
      </c>
      <c r="N34" s="119">
        <v>0</v>
      </c>
      <c r="O34" s="121">
        <v>1256</v>
      </c>
      <c r="P34" s="119" t="s">
        <v>207</v>
      </c>
      <c r="Q34" s="119">
        <v>1174</v>
      </c>
      <c r="R34" s="119" t="s">
        <v>207</v>
      </c>
      <c r="S34" s="119">
        <v>799</v>
      </c>
      <c r="T34" s="119" t="s">
        <v>207</v>
      </c>
      <c r="U34" s="119">
        <v>800</v>
      </c>
      <c r="V34" s="119" t="s">
        <v>207</v>
      </c>
      <c r="W34" s="119">
        <v>452</v>
      </c>
      <c r="X34" s="119" t="s">
        <v>207</v>
      </c>
      <c r="Y34" s="119">
        <v>501</v>
      </c>
      <c r="Z34" s="119" t="s">
        <v>207</v>
      </c>
      <c r="AA34" s="119">
        <v>416</v>
      </c>
      <c r="AB34" s="119" t="s">
        <v>207</v>
      </c>
      <c r="AC34" s="119">
        <v>502</v>
      </c>
      <c r="AD34" s="119" t="s">
        <v>207</v>
      </c>
      <c r="AE34" s="119">
        <v>677</v>
      </c>
      <c r="AF34" s="119" t="s">
        <v>207</v>
      </c>
      <c r="AG34" s="119">
        <v>763</v>
      </c>
      <c r="AH34" s="119" t="s">
        <v>207</v>
      </c>
      <c r="AI34" s="119">
        <v>1069</v>
      </c>
      <c r="AJ34" s="119" t="s">
        <v>207</v>
      </c>
      <c r="AK34" s="119">
        <v>1277</v>
      </c>
      <c r="AL34" s="119" t="s">
        <v>207</v>
      </c>
      <c r="AM34" s="119">
        <f t="shared" si="0"/>
        <v>9686</v>
      </c>
    </row>
    <row r="35" spans="1:39" s="90" customFormat="1" ht="18" customHeight="1" x14ac:dyDescent="0.3">
      <c r="A35" s="431">
        <v>13</v>
      </c>
      <c r="B35" s="422" t="s">
        <v>591</v>
      </c>
      <c r="C35" s="120" t="s">
        <v>240</v>
      </c>
      <c r="D35" s="160" t="s">
        <v>333</v>
      </c>
      <c r="E35" s="31" t="s">
        <v>144</v>
      </c>
      <c r="F35" s="85" t="s">
        <v>49</v>
      </c>
      <c r="G35" s="375" t="s">
        <v>337</v>
      </c>
      <c r="H35" s="120">
        <v>2</v>
      </c>
      <c r="I35" s="160" t="s">
        <v>337</v>
      </c>
      <c r="J35" s="120">
        <v>2</v>
      </c>
      <c r="K35" s="119" t="s">
        <v>218</v>
      </c>
      <c r="L35" s="119" t="s">
        <v>218</v>
      </c>
      <c r="M35" s="89" t="s">
        <v>325</v>
      </c>
      <c r="N35" s="119">
        <f>899+423+289+103+1251+573+381+133+944+425+327+73+985+457+375+72+801+365+268+44+1044+485+391+85+958+425+298+65+1272+566+74+15</f>
        <v>14866</v>
      </c>
      <c r="O35" s="121">
        <v>0</v>
      </c>
      <c r="P35" s="119">
        <v>0</v>
      </c>
      <c r="Q35" s="119">
        <v>0</v>
      </c>
      <c r="R35" s="119">
        <v>0</v>
      </c>
      <c r="S35" s="119">
        <v>0</v>
      </c>
      <c r="T35" s="119">
        <v>0</v>
      </c>
      <c r="U35" s="119">
        <v>0</v>
      </c>
      <c r="V35" s="119">
        <v>0</v>
      </c>
      <c r="W35" s="119">
        <v>0</v>
      </c>
      <c r="X35" s="119">
        <v>0</v>
      </c>
      <c r="Y35" s="119">
        <v>0</v>
      </c>
      <c r="Z35" s="119">
        <v>0</v>
      </c>
      <c r="AA35" s="119">
        <v>0</v>
      </c>
      <c r="AB35" s="119">
        <v>0</v>
      </c>
      <c r="AC35" s="119">
        <v>0</v>
      </c>
      <c r="AD35" s="119">
        <v>0</v>
      </c>
      <c r="AE35" s="119">
        <v>0</v>
      </c>
      <c r="AF35" s="119">
        <v>0</v>
      </c>
      <c r="AG35" s="119">
        <v>0</v>
      </c>
      <c r="AH35" s="119">
        <v>0</v>
      </c>
      <c r="AI35" s="119">
        <v>0</v>
      </c>
      <c r="AJ35" s="119">
        <v>0</v>
      </c>
      <c r="AK35" s="119">
        <v>0</v>
      </c>
      <c r="AL35" s="119">
        <v>0</v>
      </c>
      <c r="AM35" s="119">
        <f t="shared" si="0"/>
        <v>0</v>
      </c>
    </row>
    <row r="36" spans="1:39" s="90" customFormat="1" ht="18" customHeight="1" x14ac:dyDescent="0.3">
      <c r="A36" s="432"/>
      <c r="B36" s="423"/>
      <c r="C36" s="120" t="s">
        <v>240</v>
      </c>
      <c r="D36" s="160" t="s">
        <v>333</v>
      </c>
      <c r="E36" s="31" t="s">
        <v>48</v>
      </c>
      <c r="F36" s="85" t="s">
        <v>49</v>
      </c>
      <c r="G36" s="375" t="s">
        <v>337</v>
      </c>
      <c r="H36" s="120">
        <v>90</v>
      </c>
      <c r="I36" s="160" t="s">
        <v>337</v>
      </c>
      <c r="J36" s="120">
        <v>2</v>
      </c>
      <c r="K36" s="119" t="s">
        <v>218</v>
      </c>
      <c r="L36" s="119" t="s">
        <v>218</v>
      </c>
      <c r="M36" s="89" t="s">
        <v>325</v>
      </c>
      <c r="N36" s="119">
        <v>0</v>
      </c>
      <c r="O36" s="121">
        <v>1494</v>
      </c>
      <c r="P36" s="119" t="s">
        <v>207</v>
      </c>
      <c r="Q36" s="119">
        <v>2195</v>
      </c>
      <c r="R36" s="119" t="s">
        <v>207</v>
      </c>
      <c r="S36" s="119">
        <v>1905</v>
      </c>
      <c r="T36" s="119" t="s">
        <v>207</v>
      </c>
      <c r="U36" s="119">
        <v>1790</v>
      </c>
      <c r="V36" s="119" t="s">
        <v>207</v>
      </c>
      <c r="W36" s="119">
        <v>1610</v>
      </c>
      <c r="X36" s="119" t="s">
        <v>207</v>
      </c>
      <c r="Y36" s="119">
        <v>1636</v>
      </c>
      <c r="Z36" s="119" t="s">
        <v>207</v>
      </c>
      <c r="AA36" s="119">
        <v>1618</v>
      </c>
      <c r="AB36" s="119" t="s">
        <v>207</v>
      </c>
      <c r="AC36" s="119">
        <v>1611</v>
      </c>
      <c r="AD36" s="119" t="s">
        <v>207</v>
      </c>
      <c r="AE36" s="119">
        <v>2124</v>
      </c>
      <c r="AF36" s="119" t="s">
        <v>207</v>
      </c>
      <c r="AG36" s="119">
        <v>1871</v>
      </c>
      <c r="AH36" s="119" t="s">
        <v>207</v>
      </c>
      <c r="AI36" s="119">
        <v>130</v>
      </c>
      <c r="AJ36" s="119" t="s">
        <v>207</v>
      </c>
      <c r="AK36" s="119">
        <v>2033</v>
      </c>
      <c r="AL36" s="119" t="s">
        <v>207</v>
      </c>
      <c r="AM36" s="119">
        <f t="shared" si="0"/>
        <v>20017</v>
      </c>
    </row>
    <row r="37" spans="1:39" s="3" customFormat="1" ht="18" customHeight="1" x14ac:dyDescent="0.3">
      <c r="A37" s="431">
        <v>14</v>
      </c>
      <c r="B37" s="422" t="s">
        <v>592</v>
      </c>
      <c r="C37" s="73" t="s">
        <v>240</v>
      </c>
      <c r="D37" s="158" t="s">
        <v>363</v>
      </c>
      <c r="E37" s="31" t="s">
        <v>364</v>
      </c>
      <c r="F37" s="23" t="s">
        <v>49</v>
      </c>
      <c r="G37" s="177"/>
      <c r="H37" s="131"/>
      <c r="I37" s="158"/>
      <c r="J37" s="131"/>
      <c r="K37" s="132"/>
      <c r="L37" s="132"/>
      <c r="M37" s="23"/>
      <c r="N37" s="132"/>
      <c r="O37" s="327"/>
      <c r="P37" s="327"/>
      <c r="Q37" s="327"/>
      <c r="R37" s="327"/>
      <c r="S37" s="327"/>
      <c r="T37" s="327"/>
      <c r="U37" s="327"/>
      <c r="V37" s="327"/>
      <c r="W37" s="327"/>
      <c r="X37" s="327"/>
      <c r="Y37" s="327"/>
      <c r="Z37" s="327"/>
      <c r="AA37" s="327"/>
      <c r="AB37" s="327"/>
      <c r="AC37" s="327"/>
      <c r="AD37" s="327"/>
      <c r="AE37" s="327"/>
      <c r="AF37" s="327"/>
      <c r="AG37" s="327"/>
      <c r="AH37" s="327"/>
      <c r="AI37" s="327"/>
      <c r="AJ37" s="327"/>
      <c r="AK37" s="327"/>
      <c r="AL37" s="327"/>
      <c r="AM37" s="327"/>
    </row>
    <row r="38" spans="1:39" ht="18" customHeight="1" x14ac:dyDescent="0.3">
      <c r="A38" s="432"/>
      <c r="B38" s="423"/>
      <c r="C38" s="73" t="s">
        <v>240</v>
      </c>
      <c r="D38" s="158" t="s">
        <v>363</v>
      </c>
      <c r="E38" s="31" t="s">
        <v>48</v>
      </c>
      <c r="F38" s="23" t="s">
        <v>49</v>
      </c>
      <c r="G38" s="374" t="s">
        <v>365</v>
      </c>
      <c r="H38" s="133">
        <v>35</v>
      </c>
      <c r="I38" s="156" t="s">
        <v>365</v>
      </c>
      <c r="J38" s="133">
        <v>2</v>
      </c>
      <c r="K38" s="132"/>
      <c r="L38" s="132"/>
      <c r="M38" s="24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330"/>
      <c r="Z38" s="330"/>
      <c r="AA38" s="330"/>
      <c r="AB38" s="330"/>
      <c r="AC38" s="330"/>
      <c r="AD38" s="330"/>
      <c r="AE38" s="330"/>
      <c r="AF38" s="330"/>
      <c r="AG38" s="330"/>
      <c r="AH38" s="330"/>
      <c r="AI38" s="330"/>
      <c r="AJ38" s="330"/>
      <c r="AK38" s="330"/>
      <c r="AL38" s="330"/>
      <c r="AM38" s="330"/>
    </row>
    <row r="39" spans="1:39" ht="18" customHeight="1" x14ac:dyDescent="0.3">
      <c r="A39" s="431">
        <v>15</v>
      </c>
      <c r="B39" s="422" t="s">
        <v>593</v>
      </c>
      <c r="C39" s="73" t="s">
        <v>240</v>
      </c>
      <c r="D39" s="158" t="s">
        <v>363</v>
      </c>
      <c r="E39" s="31" t="s">
        <v>364</v>
      </c>
      <c r="F39" s="23" t="s">
        <v>49</v>
      </c>
      <c r="G39" s="374"/>
      <c r="H39" s="133"/>
      <c r="I39" s="156"/>
      <c r="J39" s="133"/>
      <c r="K39" s="132"/>
      <c r="L39" s="132"/>
      <c r="M39" s="24"/>
      <c r="N39" s="330"/>
      <c r="O39" s="330"/>
      <c r="P39" s="330"/>
      <c r="Q39" s="330"/>
      <c r="R39" s="330"/>
      <c r="S39" s="330"/>
      <c r="T39" s="330"/>
      <c r="U39" s="330"/>
      <c r="V39" s="330"/>
      <c r="W39" s="330"/>
      <c r="X39" s="330"/>
      <c r="Y39" s="330"/>
      <c r="Z39" s="330"/>
      <c r="AA39" s="330"/>
      <c r="AB39" s="330"/>
      <c r="AC39" s="330"/>
      <c r="AD39" s="330"/>
      <c r="AE39" s="330"/>
      <c r="AF39" s="330"/>
      <c r="AG39" s="330"/>
      <c r="AH39" s="330"/>
      <c r="AI39" s="330"/>
      <c r="AJ39" s="330"/>
      <c r="AK39" s="330"/>
      <c r="AL39" s="330"/>
      <c r="AM39" s="330"/>
    </row>
    <row r="40" spans="1:39" ht="18" customHeight="1" x14ac:dyDescent="0.3">
      <c r="A40" s="432"/>
      <c r="B40" s="423"/>
      <c r="C40" s="73" t="s">
        <v>240</v>
      </c>
      <c r="D40" s="158" t="s">
        <v>363</v>
      </c>
      <c r="E40" s="31" t="s">
        <v>48</v>
      </c>
      <c r="F40" s="23" t="s">
        <v>49</v>
      </c>
      <c r="G40" s="374" t="s">
        <v>365</v>
      </c>
      <c r="H40" s="133">
        <v>35</v>
      </c>
      <c r="I40" s="156" t="s">
        <v>365</v>
      </c>
      <c r="J40" s="133">
        <v>2</v>
      </c>
      <c r="K40" s="132"/>
      <c r="L40" s="132"/>
      <c r="M40" s="24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30"/>
      <c r="AB40" s="330"/>
      <c r="AC40" s="330"/>
      <c r="AD40" s="330"/>
      <c r="AE40" s="330"/>
      <c r="AF40" s="330"/>
      <c r="AG40" s="330"/>
      <c r="AH40" s="330"/>
      <c r="AI40" s="330"/>
      <c r="AJ40" s="330"/>
      <c r="AK40" s="330"/>
      <c r="AL40" s="330"/>
      <c r="AM40" s="330"/>
    </row>
    <row r="41" spans="1:39" ht="18" customHeight="1" x14ac:dyDescent="0.3">
      <c r="A41" s="431">
        <v>16</v>
      </c>
      <c r="B41" s="422" t="s">
        <v>594</v>
      </c>
      <c r="C41" s="73" t="s">
        <v>240</v>
      </c>
      <c r="D41" s="158" t="s">
        <v>363</v>
      </c>
      <c r="E41" s="31" t="s">
        <v>364</v>
      </c>
      <c r="F41" s="23" t="s">
        <v>49</v>
      </c>
      <c r="G41" s="374"/>
      <c r="H41" s="133"/>
      <c r="I41" s="156"/>
      <c r="J41" s="133"/>
      <c r="K41" s="132"/>
      <c r="L41" s="132"/>
      <c r="M41" s="24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0"/>
      <c r="Z41" s="330"/>
      <c r="AA41" s="330"/>
      <c r="AB41" s="330"/>
      <c r="AC41" s="330"/>
      <c r="AD41" s="330"/>
      <c r="AE41" s="330"/>
      <c r="AF41" s="330"/>
      <c r="AG41" s="330"/>
      <c r="AH41" s="330"/>
      <c r="AI41" s="330"/>
      <c r="AJ41" s="330"/>
      <c r="AK41" s="330"/>
      <c r="AL41" s="330"/>
      <c r="AM41" s="330"/>
    </row>
    <row r="42" spans="1:39" ht="18" customHeight="1" x14ac:dyDescent="0.3">
      <c r="A42" s="432"/>
      <c r="B42" s="423"/>
      <c r="C42" s="73" t="s">
        <v>240</v>
      </c>
      <c r="D42" s="158" t="s">
        <v>363</v>
      </c>
      <c r="E42" s="31" t="s">
        <v>48</v>
      </c>
      <c r="F42" s="23" t="s">
        <v>49</v>
      </c>
      <c r="G42" s="374" t="s">
        <v>365</v>
      </c>
      <c r="H42" s="133">
        <v>150</v>
      </c>
      <c r="I42" s="156" t="s">
        <v>365</v>
      </c>
      <c r="J42" s="133">
        <v>4</v>
      </c>
      <c r="K42" s="132"/>
      <c r="L42" s="132"/>
      <c r="M42" s="24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0"/>
      <c r="AD42" s="330"/>
      <c r="AE42" s="330"/>
      <c r="AF42" s="330"/>
      <c r="AG42" s="330"/>
      <c r="AH42" s="330"/>
      <c r="AI42" s="330"/>
      <c r="AJ42" s="330"/>
      <c r="AK42" s="330"/>
      <c r="AL42" s="330"/>
      <c r="AM42" s="330"/>
    </row>
    <row r="43" spans="1:39" ht="18" customHeight="1" x14ac:dyDescent="0.3">
      <c r="A43" s="431">
        <v>17</v>
      </c>
      <c r="B43" s="422" t="s">
        <v>595</v>
      </c>
      <c r="C43" s="73" t="s">
        <v>240</v>
      </c>
      <c r="D43" s="158" t="s">
        <v>363</v>
      </c>
      <c r="E43" s="31" t="s">
        <v>364</v>
      </c>
      <c r="F43" s="23" t="s">
        <v>49</v>
      </c>
      <c r="G43" s="374"/>
      <c r="H43" s="133"/>
      <c r="I43" s="156"/>
      <c r="J43" s="133"/>
      <c r="K43" s="330"/>
      <c r="L43" s="330"/>
      <c r="M43" s="24"/>
      <c r="N43" s="330"/>
      <c r="O43" s="367"/>
      <c r="P43" s="330"/>
      <c r="Q43" s="330"/>
      <c r="R43" s="330"/>
      <c r="S43" s="330"/>
      <c r="T43" s="330"/>
      <c r="U43" s="330"/>
      <c r="V43" s="330"/>
      <c r="W43" s="330"/>
      <c r="X43" s="330"/>
      <c r="Y43" s="330"/>
      <c r="Z43" s="330"/>
      <c r="AA43" s="330"/>
      <c r="AB43" s="330"/>
      <c r="AC43" s="330"/>
      <c r="AD43" s="330"/>
      <c r="AE43" s="330"/>
      <c r="AF43" s="330"/>
      <c r="AG43" s="330"/>
      <c r="AH43" s="330"/>
      <c r="AI43" s="330"/>
      <c r="AJ43" s="330"/>
      <c r="AK43" s="330"/>
      <c r="AL43" s="330"/>
      <c r="AM43" s="330"/>
    </row>
    <row r="44" spans="1:39" ht="18" customHeight="1" x14ac:dyDescent="0.3">
      <c r="A44" s="432"/>
      <c r="B44" s="423"/>
      <c r="C44" s="73" t="s">
        <v>240</v>
      </c>
      <c r="D44" s="158" t="s">
        <v>363</v>
      </c>
      <c r="E44" s="31" t="s">
        <v>48</v>
      </c>
      <c r="F44" s="23" t="s">
        <v>49</v>
      </c>
      <c r="G44" s="374" t="s">
        <v>365</v>
      </c>
      <c r="H44" s="133">
        <v>150</v>
      </c>
      <c r="I44" s="156" t="s">
        <v>365</v>
      </c>
      <c r="J44" s="133">
        <v>4</v>
      </c>
      <c r="K44" s="330"/>
      <c r="L44" s="330"/>
      <c r="M44" s="24"/>
      <c r="N44" s="330"/>
      <c r="O44" s="367"/>
      <c r="P44" s="330"/>
      <c r="Q44" s="330"/>
      <c r="R44" s="330"/>
      <c r="S44" s="330"/>
      <c r="T44" s="330"/>
      <c r="U44" s="330"/>
      <c r="V44" s="330"/>
      <c r="W44" s="330"/>
      <c r="X44" s="330"/>
      <c r="Y44" s="330"/>
      <c r="Z44" s="330"/>
      <c r="AA44" s="330"/>
      <c r="AB44" s="330"/>
      <c r="AC44" s="330"/>
      <c r="AD44" s="330"/>
      <c r="AE44" s="330"/>
      <c r="AF44" s="330"/>
      <c r="AG44" s="330"/>
      <c r="AH44" s="330"/>
      <c r="AI44" s="330"/>
      <c r="AJ44" s="330"/>
      <c r="AK44" s="330"/>
      <c r="AL44" s="330"/>
      <c r="AM44" s="330"/>
    </row>
    <row r="45" spans="1:39" ht="18" customHeight="1" x14ac:dyDescent="0.3">
      <c r="A45" s="431">
        <v>18</v>
      </c>
      <c r="B45" s="422" t="s">
        <v>596</v>
      </c>
      <c r="C45" s="73" t="s">
        <v>240</v>
      </c>
      <c r="D45" s="158" t="s">
        <v>363</v>
      </c>
      <c r="E45" s="31" t="s">
        <v>364</v>
      </c>
      <c r="F45" s="23" t="s">
        <v>49</v>
      </c>
      <c r="G45" s="374"/>
      <c r="H45" s="133"/>
      <c r="I45" s="156"/>
      <c r="J45" s="133"/>
      <c r="K45" s="330"/>
      <c r="L45" s="330"/>
      <c r="M45" s="24"/>
      <c r="N45" s="330"/>
      <c r="O45" s="367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30"/>
      <c r="AB45" s="330"/>
      <c r="AC45" s="330"/>
      <c r="AD45" s="330"/>
      <c r="AE45" s="330"/>
      <c r="AF45" s="330"/>
      <c r="AG45" s="330"/>
      <c r="AH45" s="330"/>
      <c r="AI45" s="330"/>
      <c r="AJ45" s="330"/>
      <c r="AK45" s="330"/>
      <c r="AL45" s="330"/>
      <c r="AM45" s="330"/>
    </row>
    <row r="46" spans="1:39" ht="18" customHeight="1" x14ac:dyDescent="0.3">
      <c r="A46" s="432"/>
      <c r="B46" s="423"/>
      <c r="C46" s="73" t="s">
        <v>240</v>
      </c>
      <c r="D46" s="158" t="s">
        <v>363</v>
      </c>
      <c r="E46" s="31" t="s">
        <v>48</v>
      </c>
      <c r="F46" s="23" t="s">
        <v>49</v>
      </c>
      <c r="G46" s="374" t="s">
        <v>365</v>
      </c>
      <c r="H46" s="133">
        <v>35</v>
      </c>
      <c r="I46" s="156" t="s">
        <v>365</v>
      </c>
      <c r="J46" s="133">
        <v>2</v>
      </c>
      <c r="K46" s="330"/>
      <c r="L46" s="330"/>
      <c r="M46" s="24"/>
      <c r="N46" s="330"/>
      <c r="O46" s="367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0"/>
      <c r="AA46" s="330"/>
      <c r="AB46" s="330"/>
      <c r="AC46" s="330"/>
      <c r="AD46" s="330"/>
      <c r="AE46" s="330"/>
      <c r="AF46" s="330"/>
      <c r="AG46" s="330"/>
      <c r="AH46" s="330"/>
      <c r="AI46" s="330"/>
      <c r="AJ46" s="330"/>
      <c r="AK46" s="330"/>
      <c r="AL46" s="330"/>
      <c r="AM46" s="330"/>
    </row>
    <row r="47" spans="1:39" ht="18" customHeight="1" x14ac:dyDescent="0.3">
      <c r="A47" s="431">
        <v>19</v>
      </c>
      <c r="B47" s="422" t="s">
        <v>597</v>
      </c>
      <c r="C47" s="73" t="s">
        <v>240</v>
      </c>
      <c r="D47" s="158" t="s">
        <v>363</v>
      </c>
      <c r="E47" s="31" t="s">
        <v>364</v>
      </c>
      <c r="F47" s="23" t="s">
        <v>49</v>
      </c>
      <c r="G47" s="374"/>
      <c r="H47" s="133"/>
      <c r="I47" s="156"/>
      <c r="J47" s="133"/>
      <c r="K47" s="330"/>
      <c r="L47" s="330"/>
      <c r="M47" s="24"/>
      <c r="N47" s="330"/>
      <c r="O47" s="367"/>
      <c r="P47" s="330"/>
      <c r="Q47" s="330"/>
      <c r="R47" s="330"/>
      <c r="S47" s="330"/>
      <c r="T47" s="330"/>
      <c r="U47" s="330"/>
      <c r="V47" s="330"/>
      <c r="W47" s="330"/>
      <c r="X47" s="330"/>
      <c r="Y47" s="330"/>
      <c r="Z47" s="330"/>
      <c r="AA47" s="330"/>
      <c r="AB47" s="330"/>
      <c r="AC47" s="330"/>
      <c r="AD47" s="330"/>
      <c r="AE47" s="330"/>
      <c r="AF47" s="330"/>
      <c r="AG47" s="330"/>
      <c r="AH47" s="330"/>
      <c r="AI47" s="330"/>
      <c r="AJ47" s="330"/>
      <c r="AK47" s="330"/>
      <c r="AL47" s="330"/>
      <c r="AM47" s="330"/>
    </row>
    <row r="48" spans="1:39" ht="18" customHeight="1" x14ac:dyDescent="0.3">
      <c r="A48" s="432"/>
      <c r="B48" s="423"/>
      <c r="C48" s="73" t="s">
        <v>240</v>
      </c>
      <c r="D48" s="158" t="s">
        <v>363</v>
      </c>
      <c r="E48" s="31" t="s">
        <v>48</v>
      </c>
      <c r="F48" s="23" t="s">
        <v>49</v>
      </c>
      <c r="G48" s="374" t="s">
        <v>365</v>
      </c>
      <c r="H48" s="133">
        <v>70</v>
      </c>
      <c r="I48" s="156" t="s">
        <v>365</v>
      </c>
      <c r="J48" s="133">
        <v>9</v>
      </c>
      <c r="K48" s="330"/>
      <c r="L48" s="330"/>
      <c r="M48" s="24"/>
      <c r="N48" s="330"/>
      <c r="O48" s="367"/>
      <c r="P48" s="330"/>
      <c r="Q48" s="330"/>
      <c r="R48" s="330"/>
      <c r="S48" s="330"/>
      <c r="T48" s="330"/>
      <c r="U48" s="330"/>
      <c r="V48" s="330"/>
      <c r="W48" s="330"/>
      <c r="X48" s="330"/>
      <c r="Y48" s="330"/>
      <c r="Z48" s="330"/>
      <c r="AA48" s="330"/>
      <c r="AB48" s="330"/>
      <c r="AC48" s="330"/>
      <c r="AD48" s="330"/>
      <c r="AE48" s="330"/>
      <c r="AF48" s="330"/>
      <c r="AG48" s="330"/>
      <c r="AH48" s="330"/>
      <c r="AI48" s="330"/>
      <c r="AJ48" s="330"/>
      <c r="AK48" s="330"/>
      <c r="AL48" s="330"/>
      <c r="AM48" s="330"/>
    </row>
    <row r="49" spans="1:39" ht="18" customHeight="1" x14ac:dyDescent="0.3">
      <c r="A49" s="431">
        <v>20</v>
      </c>
      <c r="B49" s="422" t="s">
        <v>598</v>
      </c>
      <c r="C49" s="73" t="s">
        <v>240</v>
      </c>
      <c r="D49" s="158" t="s">
        <v>363</v>
      </c>
      <c r="E49" s="31" t="s">
        <v>364</v>
      </c>
      <c r="F49" s="23" t="s">
        <v>49</v>
      </c>
      <c r="G49" s="374"/>
      <c r="H49" s="133"/>
      <c r="I49" s="156"/>
      <c r="J49" s="133"/>
      <c r="K49" s="330"/>
      <c r="L49" s="330"/>
      <c r="M49" s="24"/>
      <c r="N49" s="330"/>
      <c r="O49" s="367"/>
      <c r="P49" s="330"/>
      <c r="Q49" s="330"/>
      <c r="R49" s="330"/>
      <c r="S49" s="330"/>
      <c r="T49" s="330"/>
      <c r="U49" s="330"/>
      <c r="V49" s="330"/>
      <c r="W49" s="330"/>
      <c r="X49" s="330"/>
      <c r="Y49" s="330"/>
      <c r="Z49" s="330"/>
      <c r="AA49" s="330"/>
      <c r="AB49" s="330"/>
      <c r="AC49" s="330"/>
      <c r="AD49" s="330"/>
      <c r="AE49" s="330"/>
      <c r="AF49" s="330"/>
      <c r="AG49" s="330"/>
      <c r="AH49" s="330"/>
      <c r="AI49" s="330"/>
      <c r="AJ49" s="330"/>
      <c r="AK49" s="330"/>
      <c r="AL49" s="330"/>
      <c r="AM49" s="330"/>
    </row>
    <row r="50" spans="1:39" ht="18" customHeight="1" x14ac:dyDescent="0.3">
      <c r="A50" s="432"/>
      <c r="B50" s="423"/>
      <c r="C50" s="73" t="s">
        <v>240</v>
      </c>
      <c r="D50" s="158" t="s">
        <v>363</v>
      </c>
      <c r="E50" s="31" t="s">
        <v>48</v>
      </c>
      <c r="F50" s="23" t="s">
        <v>49</v>
      </c>
      <c r="G50" s="374" t="s">
        <v>365</v>
      </c>
      <c r="H50" s="133">
        <v>70</v>
      </c>
      <c r="I50" s="156" t="s">
        <v>365</v>
      </c>
      <c r="J50" s="133">
        <v>6</v>
      </c>
      <c r="K50" s="330"/>
      <c r="L50" s="330"/>
      <c r="M50" s="24"/>
      <c r="N50" s="330"/>
      <c r="O50" s="367"/>
      <c r="P50" s="330"/>
      <c r="Q50" s="330"/>
      <c r="R50" s="330"/>
      <c r="S50" s="330"/>
      <c r="T50" s="330"/>
      <c r="U50" s="330"/>
      <c r="V50" s="330"/>
      <c r="W50" s="330"/>
      <c r="X50" s="330"/>
      <c r="Y50" s="330"/>
      <c r="Z50" s="330"/>
      <c r="AA50" s="330"/>
      <c r="AB50" s="330"/>
      <c r="AC50" s="330"/>
      <c r="AD50" s="330"/>
      <c r="AE50" s="330"/>
      <c r="AF50" s="330"/>
      <c r="AG50" s="330"/>
      <c r="AH50" s="330"/>
      <c r="AI50" s="330"/>
      <c r="AJ50" s="330"/>
      <c r="AK50" s="330"/>
      <c r="AL50" s="330"/>
      <c r="AM50" s="330"/>
    </row>
    <row r="51" spans="1:39" ht="18" customHeight="1" x14ac:dyDescent="0.3">
      <c r="A51" s="431">
        <v>21</v>
      </c>
      <c r="B51" s="422" t="s">
        <v>599</v>
      </c>
      <c r="C51" s="73" t="s">
        <v>240</v>
      </c>
      <c r="D51" s="158" t="s">
        <v>363</v>
      </c>
      <c r="E51" s="31" t="s">
        <v>364</v>
      </c>
      <c r="F51" s="23" t="s">
        <v>49</v>
      </c>
      <c r="G51" s="374"/>
      <c r="H51" s="133"/>
      <c r="I51" s="156"/>
      <c r="J51" s="133"/>
      <c r="K51" s="330"/>
      <c r="L51" s="330"/>
      <c r="M51" s="24"/>
      <c r="N51" s="330"/>
      <c r="O51" s="367"/>
      <c r="P51" s="330"/>
      <c r="Q51" s="330"/>
      <c r="R51" s="330"/>
      <c r="S51" s="330"/>
      <c r="T51" s="330"/>
      <c r="U51" s="330"/>
      <c r="V51" s="330"/>
      <c r="W51" s="330"/>
      <c r="X51" s="330"/>
      <c r="Y51" s="330"/>
      <c r="Z51" s="330"/>
      <c r="AA51" s="330"/>
      <c r="AB51" s="330"/>
      <c r="AC51" s="330"/>
      <c r="AD51" s="330"/>
      <c r="AE51" s="330"/>
      <c r="AF51" s="330"/>
      <c r="AG51" s="330"/>
      <c r="AH51" s="330"/>
      <c r="AI51" s="330"/>
      <c r="AJ51" s="330"/>
      <c r="AK51" s="330"/>
      <c r="AL51" s="330"/>
      <c r="AM51" s="330"/>
    </row>
    <row r="52" spans="1:39" ht="18" customHeight="1" x14ac:dyDescent="0.3">
      <c r="A52" s="432"/>
      <c r="B52" s="423"/>
      <c r="C52" s="73" t="s">
        <v>240</v>
      </c>
      <c r="D52" s="158" t="s">
        <v>363</v>
      </c>
      <c r="E52" s="31" t="s">
        <v>48</v>
      </c>
      <c r="F52" s="23" t="s">
        <v>49</v>
      </c>
      <c r="G52" s="374" t="s">
        <v>365</v>
      </c>
      <c r="H52" s="133">
        <v>70</v>
      </c>
      <c r="I52" s="156" t="s">
        <v>365</v>
      </c>
      <c r="J52" s="133">
        <v>6</v>
      </c>
      <c r="K52" s="330"/>
      <c r="L52" s="330"/>
      <c r="M52" s="24"/>
      <c r="N52" s="330"/>
      <c r="O52" s="367"/>
      <c r="P52" s="330"/>
      <c r="Q52" s="330"/>
      <c r="R52" s="330"/>
      <c r="S52" s="330"/>
      <c r="T52" s="330"/>
      <c r="U52" s="330"/>
      <c r="V52" s="330"/>
      <c r="W52" s="330"/>
      <c r="X52" s="330"/>
      <c r="Y52" s="330"/>
      <c r="Z52" s="330"/>
      <c r="AA52" s="330"/>
      <c r="AB52" s="330"/>
      <c r="AC52" s="330"/>
      <c r="AD52" s="330"/>
      <c r="AE52" s="330"/>
      <c r="AF52" s="330"/>
      <c r="AG52" s="330"/>
      <c r="AH52" s="330"/>
      <c r="AI52" s="330"/>
      <c r="AJ52" s="330"/>
      <c r="AK52" s="330"/>
      <c r="AL52" s="330"/>
      <c r="AM52" s="330"/>
    </row>
    <row r="53" spans="1:39" ht="18" customHeight="1" x14ac:dyDescent="0.3">
      <c r="A53" s="431">
        <v>22</v>
      </c>
      <c r="B53" s="422" t="s">
        <v>600</v>
      </c>
      <c r="C53" s="73" t="s">
        <v>240</v>
      </c>
      <c r="D53" s="158" t="s">
        <v>363</v>
      </c>
      <c r="E53" s="31" t="s">
        <v>364</v>
      </c>
      <c r="F53" s="23" t="s">
        <v>49</v>
      </c>
      <c r="G53" s="374"/>
      <c r="H53" s="133"/>
      <c r="I53" s="156"/>
      <c r="J53" s="133"/>
      <c r="K53" s="330"/>
      <c r="L53" s="330"/>
      <c r="M53" s="24"/>
      <c r="N53" s="330"/>
      <c r="O53" s="367"/>
      <c r="P53" s="330"/>
      <c r="Q53" s="330"/>
      <c r="R53" s="330"/>
      <c r="S53" s="330"/>
      <c r="T53" s="330"/>
      <c r="U53" s="330"/>
      <c r="V53" s="330"/>
      <c r="W53" s="330"/>
      <c r="X53" s="330"/>
      <c r="Y53" s="330"/>
      <c r="Z53" s="330"/>
      <c r="AA53" s="330"/>
      <c r="AB53" s="330"/>
      <c r="AC53" s="330"/>
      <c r="AD53" s="330"/>
      <c r="AE53" s="330"/>
      <c r="AF53" s="330"/>
      <c r="AG53" s="330"/>
      <c r="AH53" s="330"/>
      <c r="AI53" s="330"/>
      <c r="AJ53" s="330"/>
      <c r="AK53" s="330"/>
      <c r="AL53" s="330"/>
      <c r="AM53" s="330"/>
    </row>
    <row r="54" spans="1:39" ht="18" customHeight="1" x14ac:dyDescent="0.3">
      <c r="A54" s="432"/>
      <c r="B54" s="423"/>
      <c r="C54" s="73" t="s">
        <v>240</v>
      </c>
      <c r="D54" s="158" t="s">
        <v>363</v>
      </c>
      <c r="E54" s="31" t="s">
        <v>48</v>
      </c>
      <c r="F54" s="23" t="s">
        <v>49</v>
      </c>
      <c r="G54" s="374" t="s">
        <v>365</v>
      </c>
      <c r="H54" s="133">
        <v>35</v>
      </c>
      <c r="I54" s="156" t="s">
        <v>365</v>
      </c>
      <c r="J54" s="133">
        <v>2</v>
      </c>
      <c r="K54" s="330"/>
      <c r="L54" s="330"/>
      <c r="M54" s="24"/>
      <c r="N54" s="330"/>
      <c r="O54" s="367"/>
      <c r="P54" s="330"/>
      <c r="Q54" s="330"/>
      <c r="R54" s="330"/>
      <c r="S54" s="330"/>
      <c r="T54" s="330"/>
      <c r="U54" s="330"/>
      <c r="V54" s="330"/>
      <c r="W54" s="330"/>
      <c r="X54" s="330"/>
      <c r="Y54" s="330"/>
      <c r="Z54" s="330"/>
      <c r="AA54" s="330"/>
      <c r="AB54" s="330"/>
      <c r="AC54" s="330"/>
      <c r="AD54" s="330"/>
      <c r="AE54" s="330"/>
      <c r="AF54" s="330"/>
      <c r="AG54" s="330"/>
      <c r="AH54" s="330"/>
      <c r="AI54" s="330"/>
      <c r="AJ54" s="330"/>
      <c r="AK54" s="330"/>
      <c r="AL54" s="330"/>
      <c r="AM54" s="330"/>
    </row>
    <row r="55" spans="1:39" ht="18" customHeight="1" x14ac:dyDescent="0.3">
      <c r="A55" s="431">
        <v>23</v>
      </c>
      <c r="B55" s="422" t="s">
        <v>601</v>
      </c>
      <c r="C55" s="73" t="s">
        <v>240</v>
      </c>
      <c r="D55" s="158" t="s">
        <v>363</v>
      </c>
      <c r="E55" s="31" t="s">
        <v>364</v>
      </c>
      <c r="F55" s="23" t="s">
        <v>49</v>
      </c>
      <c r="G55" s="374"/>
      <c r="H55" s="133"/>
      <c r="I55" s="156"/>
      <c r="J55" s="133"/>
      <c r="K55" s="330"/>
      <c r="L55" s="330"/>
      <c r="M55" s="24"/>
      <c r="N55" s="330"/>
      <c r="O55" s="367"/>
      <c r="P55" s="330"/>
      <c r="Q55" s="330"/>
      <c r="R55" s="330"/>
      <c r="S55" s="330"/>
      <c r="T55" s="330"/>
      <c r="U55" s="330"/>
      <c r="V55" s="330"/>
      <c r="W55" s="330"/>
      <c r="X55" s="330"/>
      <c r="Y55" s="330"/>
      <c r="Z55" s="330"/>
      <c r="AA55" s="330"/>
      <c r="AB55" s="330"/>
      <c r="AC55" s="330"/>
      <c r="AD55" s="330"/>
      <c r="AE55" s="330"/>
      <c r="AF55" s="330"/>
      <c r="AG55" s="330"/>
      <c r="AH55" s="330"/>
      <c r="AI55" s="330"/>
      <c r="AJ55" s="330"/>
      <c r="AK55" s="330"/>
      <c r="AL55" s="330"/>
      <c r="AM55" s="330"/>
    </row>
    <row r="56" spans="1:39" ht="18" customHeight="1" x14ac:dyDescent="0.3">
      <c r="A56" s="432"/>
      <c r="B56" s="423"/>
      <c r="C56" s="73" t="s">
        <v>240</v>
      </c>
      <c r="D56" s="158" t="s">
        <v>363</v>
      </c>
      <c r="E56" s="31" t="s">
        <v>48</v>
      </c>
      <c r="F56" s="23" t="s">
        <v>49</v>
      </c>
      <c r="G56" s="374" t="s">
        <v>365</v>
      </c>
      <c r="H56" s="133">
        <v>120</v>
      </c>
      <c r="I56" s="156" t="s">
        <v>365</v>
      </c>
      <c r="J56" s="133">
        <v>2</v>
      </c>
      <c r="K56" s="330"/>
      <c r="L56" s="330"/>
      <c r="M56" s="24"/>
      <c r="N56" s="330"/>
      <c r="O56" s="367"/>
      <c r="P56" s="330"/>
      <c r="Q56" s="330"/>
      <c r="R56" s="330"/>
      <c r="S56" s="330"/>
      <c r="T56" s="330"/>
      <c r="U56" s="330"/>
      <c r="V56" s="330"/>
      <c r="W56" s="330"/>
      <c r="X56" s="330"/>
      <c r="Y56" s="330"/>
      <c r="Z56" s="330"/>
      <c r="AA56" s="330"/>
      <c r="AB56" s="330"/>
      <c r="AC56" s="330"/>
      <c r="AD56" s="330"/>
      <c r="AE56" s="330"/>
      <c r="AF56" s="330"/>
      <c r="AG56" s="330"/>
      <c r="AH56" s="330"/>
      <c r="AI56" s="330"/>
      <c r="AJ56" s="330"/>
      <c r="AK56" s="330"/>
      <c r="AL56" s="330"/>
      <c r="AM56" s="330"/>
    </row>
    <row r="57" spans="1:39" ht="18" customHeight="1" x14ac:dyDescent="0.3">
      <c r="A57" s="431">
        <v>24</v>
      </c>
      <c r="B57" s="422" t="s">
        <v>602</v>
      </c>
      <c r="C57" s="73" t="s">
        <v>240</v>
      </c>
      <c r="D57" s="158" t="s">
        <v>363</v>
      </c>
      <c r="E57" s="31" t="s">
        <v>364</v>
      </c>
      <c r="F57" s="23" t="s">
        <v>49</v>
      </c>
      <c r="G57" s="374"/>
      <c r="H57" s="133"/>
      <c r="I57" s="156"/>
      <c r="J57" s="133"/>
      <c r="K57" s="330"/>
      <c r="L57" s="330"/>
      <c r="M57" s="24"/>
      <c r="N57" s="330"/>
      <c r="O57" s="367"/>
      <c r="P57" s="330"/>
      <c r="Q57" s="330"/>
      <c r="R57" s="330"/>
      <c r="S57" s="330"/>
      <c r="T57" s="330"/>
      <c r="U57" s="330"/>
      <c r="V57" s="330"/>
      <c r="W57" s="330"/>
      <c r="X57" s="330"/>
      <c r="Y57" s="330"/>
      <c r="Z57" s="330"/>
      <c r="AA57" s="330"/>
      <c r="AB57" s="330"/>
      <c r="AC57" s="330"/>
      <c r="AD57" s="330"/>
      <c r="AE57" s="330"/>
      <c r="AF57" s="330"/>
      <c r="AG57" s="330"/>
      <c r="AH57" s="330"/>
      <c r="AI57" s="330"/>
      <c r="AJ57" s="330"/>
      <c r="AK57" s="330"/>
      <c r="AL57" s="330"/>
      <c r="AM57" s="330"/>
    </row>
    <row r="58" spans="1:39" ht="18" customHeight="1" x14ac:dyDescent="0.3">
      <c r="A58" s="432"/>
      <c r="B58" s="423"/>
      <c r="C58" s="73" t="s">
        <v>240</v>
      </c>
      <c r="D58" s="158" t="s">
        <v>363</v>
      </c>
      <c r="E58" s="31" t="s">
        <v>48</v>
      </c>
      <c r="F58" s="23" t="s">
        <v>49</v>
      </c>
      <c r="G58" s="374" t="s">
        <v>366</v>
      </c>
      <c r="H58" s="133">
        <v>35</v>
      </c>
      <c r="I58" s="156" t="s">
        <v>365</v>
      </c>
      <c r="J58" s="133">
        <v>2</v>
      </c>
      <c r="K58" s="330"/>
      <c r="L58" s="330"/>
      <c r="M58" s="24"/>
      <c r="N58" s="330"/>
      <c r="O58" s="367"/>
      <c r="P58" s="330"/>
      <c r="Q58" s="330"/>
      <c r="R58" s="330"/>
      <c r="S58" s="330"/>
      <c r="T58" s="330"/>
      <c r="U58" s="330"/>
      <c r="V58" s="330"/>
      <c r="W58" s="330"/>
      <c r="X58" s="330"/>
      <c r="Y58" s="330"/>
      <c r="Z58" s="330"/>
      <c r="AA58" s="330"/>
      <c r="AB58" s="330"/>
      <c r="AC58" s="330"/>
      <c r="AD58" s="330"/>
      <c r="AE58" s="330"/>
      <c r="AF58" s="330"/>
      <c r="AG58" s="330"/>
      <c r="AH58" s="330"/>
      <c r="AI58" s="330"/>
      <c r="AJ58" s="330"/>
      <c r="AK58" s="330"/>
      <c r="AL58" s="330"/>
      <c r="AM58" s="330"/>
    </row>
    <row r="59" spans="1:39" ht="18" customHeight="1" x14ac:dyDescent="0.3">
      <c r="A59" s="431">
        <v>25</v>
      </c>
      <c r="B59" s="422" t="s">
        <v>603</v>
      </c>
      <c r="C59" s="73" t="s">
        <v>240</v>
      </c>
      <c r="D59" s="158" t="s">
        <v>363</v>
      </c>
      <c r="E59" s="31" t="s">
        <v>364</v>
      </c>
      <c r="F59" s="23" t="s">
        <v>49</v>
      </c>
      <c r="G59" s="374"/>
      <c r="H59" s="133"/>
      <c r="I59" s="156"/>
      <c r="J59" s="133"/>
      <c r="K59" s="330"/>
      <c r="L59" s="330"/>
      <c r="M59" s="24"/>
      <c r="N59" s="330"/>
      <c r="O59" s="367"/>
      <c r="P59" s="330"/>
      <c r="Q59" s="330"/>
      <c r="R59" s="330"/>
      <c r="S59" s="330"/>
      <c r="T59" s="330"/>
      <c r="U59" s="330"/>
      <c r="V59" s="330"/>
      <c r="W59" s="330"/>
      <c r="X59" s="330"/>
      <c r="Y59" s="330"/>
      <c r="Z59" s="330"/>
      <c r="AA59" s="330"/>
      <c r="AB59" s="330"/>
      <c r="AC59" s="330"/>
      <c r="AD59" s="330"/>
      <c r="AE59" s="330"/>
      <c r="AF59" s="330"/>
      <c r="AG59" s="330"/>
      <c r="AH59" s="330"/>
      <c r="AI59" s="330"/>
      <c r="AJ59" s="330"/>
      <c r="AK59" s="330"/>
      <c r="AL59" s="330"/>
      <c r="AM59" s="330"/>
    </row>
    <row r="60" spans="1:39" ht="18" customHeight="1" x14ac:dyDescent="0.3">
      <c r="A60" s="432"/>
      <c r="B60" s="423"/>
      <c r="C60" s="73" t="s">
        <v>240</v>
      </c>
      <c r="D60" s="158" t="s">
        <v>363</v>
      </c>
      <c r="E60" s="31" t="s">
        <v>48</v>
      </c>
      <c r="F60" s="23" t="s">
        <v>49</v>
      </c>
      <c r="G60" s="374" t="s">
        <v>365</v>
      </c>
      <c r="H60" s="133">
        <v>70</v>
      </c>
      <c r="I60" s="156" t="s">
        <v>365</v>
      </c>
      <c r="J60" s="133">
        <v>6</v>
      </c>
      <c r="K60" s="330"/>
      <c r="L60" s="330"/>
      <c r="M60" s="24"/>
      <c r="N60" s="330"/>
      <c r="O60" s="367"/>
      <c r="P60" s="330"/>
      <c r="Q60" s="330"/>
      <c r="R60" s="330"/>
      <c r="S60" s="330"/>
      <c r="T60" s="330"/>
      <c r="U60" s="330"/>
      <c r="V60" s="330"/>
      <c r="W60" s="330"/>
      <c r="X60" s="330"/>
      <c r="Y60" s="330"/>
      <c r="Z60" s="330"/>
      <c r="AA60" s="330"/>
      <c r="AB60" s="330"/>
      <c r="AC60" s="330"/>
      <c r="AD60" s="330"/>
      <c r="AE60" s="330"/>
      <c r="AF60" s="330"/>
      <c r="AG60" s="330"/>
      <c r="AH60" s="330"/>
      <c r="AI60" s="330"/>
      <c r="AJ60" s="330"/>
      <c r="AK60" s="330"/>
      <c r="AL60" s="330"/>
      <c r="AM60" s="330"/>
    </row>
    <row r="61" spans="1:39" ht="18" customHeight="1" x14ac:dyDescent="0.3">
      <c r="A61" s="431">
        <v>26</v>
      </c>
      <c r="B61" s="422" t="s">
        <v>604</v>
      </c>
      <c r="C61" s="73" t="s">
        <v>240</v>
      </c>
      <c r="D61" s="158" t="s">
        <v>363</v>
      </c>
      <c r="E61" s="31" t="s">
        <v>364</v>
      </c>
      <c r="F61" s="23" t="s">
        <v>49</v>
      </c>
      <c r="G61" s="374"/>
      <c r="H61" s="133"/>
      <c r="I61" s="156"/>
      <c r="J61" s="133"/>
      <c r="K61" s="330"/>
      <c r="L61" s="330"/>
      <c r="M61" s="24"/>
      <c r="N61" s="330"/>
      <c r="O61" s="367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30"/>
      <c r="AB61" s="330"/>
      <c r="AC61" s="330"/>
      <c r="AD61" s="330"/>
      <c r="AE61" s="330"/>
      <c r="AF61" s="330"/>
      <c r="AG61" s="330"/>
      <c r="AH61" s="330"/>
      <c r="AI61" s="330"/>
      <c r="AJ61" s="330"/>
      <c r="AK61" s="330"/>
      <c r="AL61" s="330"/>
      <c r="AM61" s="330"/>
    </row>
    <row r="62" spans="1:39" ht="18" customHeight="1" x14ac:dyDescent="0.3">
      <c r="A62" s="432"/>
      <c r="B62" s="423"/>
      <c r="C62" s="73" t="s">
        <v>240</v>
      </c>
      <c r="D62" s="158" t="s">
        <v>363</v>
      </c>
      <c r="E62" s="31" t="s">
        <v>48</v>
      </c>
      <c r="F62" s="23" t="s">
        <v>49</v>
      </c>
      <c r="G62" s="374" t="s">
        <v>365</v>
      </c>
      <c r="H62" s="133">
        <v>35</v>
      </c>
      <c r="I62" s="156" t="s">
        <v>365</v>
      </c>
      <c r="J62" s="133">
        <v>2</v>
      </c>
      <c r="K62" s="330"/>
      <c r="L62" s="330"/>
      <c r="M62" s="24"/>
      <c r="N62" s="330"/>
      <c r="O62" s="367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30"/>
      <c r="AB62" s="330"/>
      <c r="AC62" s="330"/>
      <c r="AD62" s="330"/>
      <c r="AE62" s="330"/>
      <c r="AF62" s="330"/>
      <c r="AG62" s="330"/>
      <c r="AH62" s="330"/>
      <c r="AI62" s="330"/>
      <c r="AJ62" s="330"/>
      <c r="AK62" s="330"/>
      <c r="AL62" s="330"/>
      <c r="AM62" s="330"/>
    </row>
    <row r="63" spans="1:39" ht="18" customHeight="1" x14ac:dyDescent="0.3">
      <c r="A63" s="431">
        <v>27</v>
      </c>
      <c r="B63" s="422" t="s">
        <v>605</v>
      </c>
      <c r="C63" s="73" t="s">
        <v>240</v>
      </c>
      <c r="D63" s="158" t="s">
        <v>363</v>
      </c>
      <c r="E63" s="31" t="s">
        <v>364</v>
      </c>
      <c r="F63" s="23" t="s">
        <v>49</v>
      </c>
      <c r="G63" s="374"/>
      <c r="H63" s="133"/>
      <c r="I63" s="156"/>
      <c r="J63" s="133"/>
      <c r="K63" s="330"/>
      <c r="L63" s="330"/>
      <c r="M63" s="24"/>
      <c r="N63" s="330"/>
      <c r="O63" s="367"/>
      <c r="P63" s="330"/>
      <c r="Q63" s="330"/>
      <c r="R63" s="330"/>
      <c r="S63" s="330"/>
      <c r="T63" s="330"/>
      <c r="U63" s="330"/>
      <c r="V63" s="330"/>
      <c r="W63" s="330"/>
      <c r="X63" s="330"/>
      <c r="Y63" s="330"/>
      <c r="Z63" s="330"/>
      <c r="AA63" s="330"/>
      <c r="AB63" s="330"/>
      <c r="AC63" s="330"/>
      <c r="AD63" s="330"/>
      <c r="AE63" s="330"/>
      <c r="AF63" s="330"/>
      <c r="AG63" s="330"/>
      <c r="AH63" s="330"/>
      <c r="AI63" s="330"/>
      <c r="AJ63" s="330"/>
      <c r="AK63" s="330"/>
      <c r="AL63" s="330"/>
      <c r="AM63" s="330"/>
    </row>
    <row r="64" spans="1:39" ht="18" customHeight="1" x14ac:dyDescent="0.3">
      <c r="A64" s="432"/>
      <c r="B64" s="423"/>
      <c r="C64" s="73" t="s">
        <v>240</v>
      </c>
      <c r="D64" s="158" t="s">
        <v>363</v>
      </c>
      <c r="E64" s="31" t="s">
        <v>48</v>
      </c>
      <c r="F64" s="23" t="s">
        <v>49</v>
      </c>
      <c r="G64" s="374" t="s">
        <v>365</v>
      </c>
      <c r="H64" s="133">
        <v>35</v>
      </c>
      <c r="I64" s="156" t="s">
        <v>365</v>
      </c>
      <c r="J64" s="133">
        <v>2</v>
      </c>
      <c r="K64" s="330"/>
      <c r="L64" s="330"/>
      <c r="M64" s="24"/>
      <c r="N64" s="330"/>
      <c r="O64" s="367"/>
      <c r="P64" s="330"/>
      <c r="Q64" s="330"/>
      <c r="R64" s="330"/>
      <c r="S64" s="330"/>
      <c r="T64" s="330"/>
      <c r="U64" s="330"/>
      <c r="V64" s="330"/>
      <c r="W64" s="330"/>
      <c r="X64" s="330"/>
      <c r="Y64" s="330"/>
      <c r="Z64" s="330"/>
      <c r="AA64" s="330"/>
      <c r="AB64" s="330"/>
      <c r="AC64" s="330"/>
      <c r="AD64" s="330"/>
      <c r="AE64" s="330"/>
      <c r="AF64" s="330"/>
      <c r="AG64" s="330"/>
      <c r="AH64" s="330"/>
      <c r="AI64" s="330"/>
      <c r="AJ64" s="330"/>
      <c r="AK64" s="330"/>
      <c r="AL64" s="330"/>
      <c r="AM64" s="330"/>
    </row>
    <row r="65" spans="1:39" ht="18" customHeight="1" x14ac:dyDescent="0.3">
      <c r="A65" s="431">
        <v>28</v>
      </c>
      <c r="B65" s="422" t="s">
        <v>606</v>
      </c>
      <c r="C65" s="73" t="s">
        <v>240</v>
      </c>
      <c r="D65" s="158" t="s">
        <v>363</v>
      </c>
      <c r="E65" s="31" t="s">
        <v>364</v>
      </c>
      <c r="F65" s="23" t="s">
        <v>49</v>
      </c>
      <c r="G65" s="374"/>
      <c r="H65" s="133"/>
      <c r="I65" s="156"/>
      <c r="J65" s="133"/>
      <c r="K65" s="330"/>
      <c r="L65" s="330"/>
      <c r="M65" s="24"/>
      <c r="N65" s="330"/>
      <c r="O65" s="367"/>
      <c r="P65" s="330"/>
      <c r="Q65" s="330"/>
      <c r="R65" s="330"/>
      <c r="S65" s="330"/>
      <c r="T65" s="330"/>
      <c r="U65" s="330"/>
      <c r="V65" s="330"/>
      <c r="W65" s="330"/>
      <c r="X65" s="330"/>
      <c r="Y65" s="330"/>
      <c r="Z65" s="330"/>
      <c r="AA65" s="330"/>
      <c r="AB65" s="330"/>
      <c r="AC65" s="330"/>
      <c r="AD65" s="330"/>
      <c r="AE65" s="330"/>
      <c r="AF65" s="330"/>
      <c r="AG65" s="330"/>
      <c r="AH65" s="330"/>
      <c r="AI65" s="330"/>
      <c r="AJ65" s="330"/>
      <c r="AK65" s="330"/>
      <c r="AL65" s="330"/>
      <c r="AM65" s="330"/>
    </row>
    <row r="66" spans="1:39" ht="18" customHeight="1" x14ac:dyDescent="0.3">
      <c r="A66" s="432"/>
      <c r="B66" s="423"/>
      <c r="C66" s="73" t="s">
        <v>240</v>
      </c>
      <c r="D66" s="158" t="s">
        <v>363</v>
      </c>
      <c r="E66" s="31" t="s">
        <v>48</v>
      </c>
      <c r="F66" s="23" t="s">
        <v>49</v>
      </c>
      <c r="G66" s="374" t="s">
        <v>365</v>
      </c>
      <c r="H66" s="133">
        <v>150</v>
      </c>
      <c r="I66" s="156" t="s">
        <v>365</v>
      </c>
      <c r="J66" s="133">
        <v>2</v>
      </c>
      <c r="K66" s="330"/>
      <c r="L66" s="330"/>
      <c r="M66" s="24"/>
      <c r="N66" s="330"/>
      <c r="O66" s="367"/>
      <c r="P66" s="330"/>
      <c r="Q66" s="330"/>
      <c r="R66" s="330"/>
      <c r="S66" s="330"/>
      <c r="T66" s="330"/>
      <c r="U66" s="330"/>
      <c r="V66" s="330"/>
      <c r="W66" s="330"/>
      <c r="X66" s="330"/>
      <c r="Y66" s="330"/>
      <c r="Z66" s="330"/>
      <c r="AA66" s="330"/>
      <c r="AB66" s="330"/>
      <c r="AC66" s="330"/>
      <c r="AD66" s="330"/>
      <c r="AE66" s="330"/>
      <c r="AF66" s="330"/>
      <c r="AG66" s="330"/>
      <c r="AH66" s="330"/>
      <c r="AI66" s="330"/>
      <c r="AJ66" s="330"/>
      <c r="AK66" s="330"/>
      <c r="AL66" s="330"/>
      <c r="AM66" s="330"/>
    </row>
    <row r="67" spans="1:39" ht="18" customHeight="1" x14ac:dyDescent="0.3">
      <c r="A67" s="431">
        <v>29</v>
      </c>
      <c r="B67" s="422" t="s">
        <v>607</v>
      </c>
      <c r="C67" s="73" t="s">
        <v>240</v>
      </c>
      <c r="D67" s="158" t="s">
        <v>363</v>
      </c>
      <c r="E67" s="31" t="s">
        <v>364</v>
      </c>
      <c r="F67" s="23" t="s">
        <v>49</v>
      </c>
      <c r="G67" s="374"/>
      <c r="H67" s="133"/>
      <c r="I67" s="156"/>
      <c r="J67" s="133"/>
      <c r="K67" s="330"/>
      <c r="L67" s="330"/>
      <c r="M67" s="24"/>
      <c r="N67" s="330"/>
      <c r="O67" s="367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30"/>
      <c r="AB67" s="330"/>
      <c r="AC67" s="330"/>
      <c r="AD67" s="330"/>
      <c r="AE67" s="330"/>
      <c r="AF67" s="330"/>
      <c r="AG67" s="330"/>
      <c r="AH67" s="330"/>
      <c r="AI67" s="330"/>
      <c r="AJ67" s="330"/>
      <c r="AK67" s="330"/>
      <c r="AL67" s="330"/>
      <c r="AM67" s="330"/>
    </row>
    <row r="68" spans="1:39" ht="18" customHeight="1" x14ac:dyDescent="0.3">
      <c r="A68" s="432"/>
      <c r="B68" s="423"/>
      <c r="C68" s="73" t="s">
        <v>240</v>
      </c>
      <c r="D68" s="158" t="s">
        <v>363</v>
      </c>
      <c r="E68" s="31" t="s">
        <v>48</v>
      </c>
      <c r="F68" s="23" t="s">
        <v>49</v>
      </c>
      <c r="G68" s="374" t="s">
        <v>365</v>
      </c>
      <c r="H68" s="133">
        <v>70</v>
      </c>
      <c r="I68" s="156" t="s">
        <v>365</v>
      </c>
      <c r="J68" s="133">
        <v>2</v>
      </c>
      <c r="K68" s="330"/>
      <c r="L68" s="330"/>
      <c r="M68" s="24"/>
      <c r="N68" s="330"/>
      <c r="O68" s="367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30"/>
      <c r="AB68" s="330"/>
      <c r="AC68" s="330"/>
      <c r="AD68" s="330"/>
      <c r="AE68" s="330"/>
      <c r="AF68" s="330"/>
      <c r="AG68" s="330"/>
      <c r="AH68" s="330"/>
      <c r="AI68" s="330"/>
      <c r="AJ68" s="330"/>
      <c r="AK68" s="330"/>
      <c r="AL68" s="330"/>
      <c r="AM68" s="330"/>
    </row>
    <row r="69" spans="1:39" ht="18" customHeight="1" x14ac:dyDescent="0.3">
      <c r="A69" s="431">
        <v>30</v>
      </c>
      <c r="B69" s="422" t="s">
        <v>608</v>
      </c>
      <c r="C69" s="73" t="s">
        <v>240</v>
      </c>
      <c r="D69" s="158" t="s">
        <v>363</v>
      </c>
      <c r="E69" s="31" t="s">
        <v>364</v>
      </c>
      <c r="F69" s="23" t="s">
        <v>49</v>
      </c>
      <c r="G69" s="374"/>
      <c r="H69" s="133"/>
      <c r="I69" s="156"/>
      <c r="J69" s="133"/>
      <c r="K69" s="330"/>
      <c r="L69" s="330"/>
      <c r="M69" s="24"/>
      <c r="N69" s="330"/>
      <c r="O69" s="367"/>
      <c r="P69" s="330"/>
      <c r="Q69" s="330"/>
      <c r="R69" s="330"/>
      <c r="S69" s="330"/>
      <c r="T69" s="330"/>
      <c r="U69" s="330"/>
      <c r="V69" s="330"/>
      <c r="W69" s="330"/>
      <c r="X69" s="330"/>
      <c r="Y69" s="330"/>
      <c r="Z69" s="330"/>
      <c r="AA69" s="330"/>
      <c r="AB69" s="330"/>
      <c r="AC69" s="330"/>
      <c r="AD69" s="330"/>
      <c r="AE69" s="330"/>
      <c r="AF69" s="330"/>
      <c r="AG69" s="330"/>
      <c r="AH69" s="330"/>
      <c r="AI69" s="330"/>
      <c r="AJ69" s="330"/>
      <c r="AK69" s="330"/>
      <c r="AL69" s="330"/>
      <c r="AM69" s="330"/>
    </row>
    <row r="70" spans="1:39" ht="18" customHeight="1" x14ac:dyDescent="0.3">
      <c r="A70" s="432"/>
      <c r="B70" s="423"/>
      <c r="C70" s="73" t="s">
        <v>240</v>
      </c>
      <c r="D70" s="158" t="s">
        <v>363</v>
      </c>
      <c r="E70" s="31" t="s">
        <v>48</v>
      </c>
      <c r="F70" s="23" t="s">
        <v>49</v>
      </c>
      <c r="G70" s="374" t="s">
        <v>365</v>
      </c>
      <c r="H70" s="133">
        <v>70</v>
      </c>
      <c r="I70" s="156" t="s">
        <v>365</v>
      </c>
      <c r="J70" s="133">
        <v>2</v>
      </c>
      <c r="K70" s="330"/>
      <c r="L70" s="330"/>
      <c r="M70" s="24"/>
      <c r="N70" s="330"/>
      <c r="O70" s="367"/>
      <c r="P70" s="330"/>
      <c r="Q70" s="330"/>
      <c r="R70" s="330"/>
      <c r="S70" s="330"/>
      <c r="T70" s="330"/>
      <c r="U70" s="330"/>
      <c r="V70" s="330"/>
      <c r="W70" s="330"/>
      <c r="X70" s="330"/>
      <c r="Y70" s="330"/>
      <c r="Z70" s="330"/>
      <c r="AA70" s="330"/>
      <c r="AB70" s="330"/>
      <c r="AC70" s="330"/>
      <c r="AD70" s="330"/>
      <c r="AE70" s="330"/>
      <c r="AF70" s="330"/>
      <c r="AG70" s="330"/>
      <c r="AH70" s="330"/>
      <c r="AI70" s="330"/>
      <c r="AJ70" s="330"/>
      <c r="AK70" s="330"/>
      <c r="AL70" s="330"/>
      <c r="AM70" s="330"/>
    </row>
    <row r="71" spans="1:39" ht="18" customHeight="1" x14ac:dyDescent="0.3">
      <c r="A71" s="431">
        <v>31</v>
      </c>
      <c r="B71" s="422" t="s">
        <v>609</v>
      </c>
      <c r="C71" s="73" t="s">
        <v>240</v>
      </c>
      <c r="D71" s="158" t="s">
        <v>363</v>
      </c>
      <c r="E71" s="31" t="s">
        <v>364</v>
      </c>
      <c r="F71" s="23" t="s">
        <v>49</v>
      </c>
      <c r="G71" s="374"/>
      <c r="H71" s="133"/>
      <c r="I71" s="156"/>
      <c r="J71" s="133"/>
      <c r="K71" s="330"/>
      <c r="L71" s="330"/>
      <c r="M71" s="24"/>
      <c r="N71" s="330"/>
      <c r="O71" s="367"/>
      <c r="P71" s="330"/>
      <c r="Q71" s="330"/>
      <c r="R71" s="330"/>
      <c r="S71" s="330"/>
      <c r="T71" s="330"/>
      <c r="U71" s="330"/>
      <c r="V71" s="330"/>
      <c r="W71" s="330"/>
      <c r="X71" s="330"/>
      <c r="Y71" s="330"/>
      <c r="Z71" s="330"/>
      <c r="AA71" s="330"/>
      <c r="AB71" s="330"/>
      <c r="AC71" s="330"/>
      <c r="AD71" s="330"/>
      <c r="AE71" s="330"/>
      <c r="AF71" s="330"/>
      <c r="AG71" s="330"/>
      <c r="AH71" s="330"/>
      <c r="AI71" s="330"/>
      <c r="AJ71" s="330"/>
      <c r="AK71" s="330"/>
      <c r="AL71" s="330"/>
      <c r="AM71" s="330"/>
    </row>
    <row r="72" spans="1:39" ht="18" customHeight="1" x14ac:dyDescent="0.3">
      <c r="A72" s="432"/>
      <c r="B72" s="423"/>
      <c r="C72" s="73" t="s">
        <v>240</v>
      </c>
      <c r="D72" s="158" t="s">
        <v>363</v>
      </c>
      <c r="E72" s="31" t="s">
        <v>48</v>
      </c>
      <c r="F72" s="23" t="s">
        <v>49</v>
      </c>
      <c r="G72" s="374" t="s">
        <v>365</v>
      </c>
      <c r="H72" s="133">
        <v>70</v>
      </c>
      <c r="I72" s="156" t="s">
        <v>365</v>
      </c>
      <c r="J72" s="133">
        <v>2</v>
      </c>
      <c r="K72" s="330"/>
      <c r="L72" s="330"/>
      <c r="M72" s="24"/>
      <c r="N72" s="330"/>
      <c r="O72" s="367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30"/>
      <c r="AB72" s="330"/>
      <c r="AC72" s="330"/>
      <c r="AD72" s="330"/>
      <c r="AE72" s="330"/>
      <c r="AF72" s="330"/>
      <c r="AG72" s="330"/>
      <c r="AH72" s="330"/>
      <c r="AI72" s="330"/>
      <c r="AJ72" s="330"/>
      <c r="AK72" s="330"/>
      <c r="AL72" s="330"/>
      <c r="AM72" s="330"/>
    </row>
    <row r="73" spans="1:39" ht="18" customHeight="1" x14ac:dyDescent="0.3">
      <c r="A73" s="431">
        <v>32</v>
      </c>
      <c r="B73" s="422" t="s">
        <v>610</v>
      </c>
      <c r="C73" s="73" t="s">
        <v>240</v>
      </c>
      <c r="D73" s="158" t="s">
        <v>363</v>
      </c>
      <c r="E73" s="31" t="s">
        <v>364</v>
      </c>
      <c r="F73" s="23" t="s">
        <v>49</v>
      </c>
      <c r="G73" s="374"/>
      <c r="H73" s="133"/>
      <c r="I73" s="156"/>
      <c r="J73" s="133"/>
      <c r="K73" s="330"/>
      <c r="L73" s="330"/>
      <c r="M73" s="24"/>
      <c r="N73" s="330"/>
      <c r="O73" s="367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30"/>
      <c r="AB73" s="330"/>
      <c r="AC73" s="330"/>
      <c r="AD73" s="330"/>
      <c r="AE73" s="330"/>
      <c r="AF73" s="330"/>
      <c r="AG73" s="330"/>
      <c r="AH73" s="330"/>
      <c r="AI73" s="330"/>
      <c r="AJ73" s="330"/>
      <c r="AK73" s="330"/>
      <c r="AL73" s="330"/>
      <c r="AM73" s="330"/>
    </row>
    <row r="74" spans="1:39" ht="18" customHeight="1" x14ac:dyDescent="0.3">
      <c r="A74" s="432"/>
      <c r="B74" s="423"/>
      <c r="C74" s="73" t="s">
        <v>240</v>
      </c>
      <c r="D74" s="158" t="s">
        <v>363</v>
      </c>
      <c r="E74" s="31" t="s">
        <v>48</v>
      </c>
      <c r="F74" s="23" t="s">
        <v>49</v>
      </c>
      <c r="G74" s="374" t="s">
        <v>365</v>
      </c>
      <c r="H74" s="133">
        <v>200</v>
      </c>
      <c r="I74" s="156" t="s">
        <v>365</v>
      </c>
      <c r="J74" s="133">
        <v>2</v>
      </c>
      <c r="K74" s="330"/>
      <c r="L74" s="330"/>
      <c r="M74" s="24"/>
      <c r="N74" s="330"/>
      <c r="O74" s="367"/>
      <c r="P74" s="330"/>
      <c r="Q74" s="330"/>
      <c r="R74" s="330"/>
      <c r="S74" s="330"/>
      <c r="T74" s="330"/>
      <c r="U74" s="330"/>
      <c r="V74" s="330"/>
      <c r="W74" s="330"/>
      <c r="X74" s="330"/>
      <c r="Y74" s="330"/>
      <c r="Z74" s="330"/>
      <c r="AA74" s="330"/>
      <c r="AB74" s="330"/>
      <c r="AC74" s="330"/>
      <c r="AD74" s="330"/>
      <c r="AE74" s="330"/>
      <c r="AF74" s="330"/>
      <c r="AG74" s="330"/>
      <c r="AH74" s="330"/>
      <c r="AI74" s="330"/>
      <c r="AJ74" s="330"/>
      <c r="AK74" s="330"/>
      <c r="AL74" s="330"/>
      <c r="AM74" s="330"/>
    </row>
    <row r="75" spans="1:39" ht="18" customHeight="1" x14ac:dyDescent="0.3">
      <c r="A75" s="431">
        <v>33</v>
      </c>
      <c r="B75" s="422" t="s">
        <v>611</v>
      </c>
      <c r="C75" s="73" t="s">
        <v>240</v>
      </c>
      <c r="D75" s="158" t="s">
        <v>363</v>
      </c>
      <c r="E75" s="31" t="s">
        <v>364</v>
      </c>
      <c r="F75" s="23" t="s">
        <v>49</v>
      </c>
      <c r="G75" s="374"/>
      <c r="H75" s="133"/>
      <c r="I75" s="156"/>
      <c r="J75" s="133"/>
      <c r="K75" s="330"/>
      <c r="L75" s="330"/>
      <c r="M75" s="24"/>
      <c r="N75" s="330"/>
      <c r="O75" s="367"/>
      <c r="P75" s="330"/>
      <c r="Q75" s="330"/>
      <c r="R75" s="330"/>
      <c r="S75" s="330"/>
      <c r="T75" s="330"/>
      <c r="U75" s="330"/>
      <c r="V75" s="330"/>
      <c r="W75" s="330"/>
      <c r="X75" s="330"/>
      <c r="Y75" s="330"/>
      <c r="Z75" s="330"/>
      <c r="AA75" s="330"/>
      <c r="AB75" s="330"/>
      <c r="AC75" s="330"/>
      <c r="AD75" s="330"/>
      <c r="AE75" s="330"/>
      <c r="AF75" s="330"/>
      <c r="AG75" s="330"/>
      <c r="AH75" s="330"/>
      <c r="AI75" s="330"/>
      <c r="AJ75" s="330"/>
      <c r="AK75" s="330"/>
      <c r="AL75" s="330"/>
      <c r="AM75" s="330"/>
    </row>
    <row r="76" spans="1:39" ht="18" customHeight="1" x14ac:dyDescent="0.3">
      <c r="A76" s="432"/>
      <c r="B76" s="423"/>
      <c r="C76" s="73" t="s">
        <v>240</v>
      </c>
      <c r="D76" s="158" t="s">
        <v>363</v>
      </c>
      <c r="E76" s="31" t="s">
        <v>48</v>
      </c>
      <c r="F76" s="23" t="s">
        <v>49</v>
      </c>
      <c r="G76" s="374" t="s">
        <v>365</v>
      </c>
      <c r="H76" s="133">
        <v>70</v>
      </c>
      <c r="I76" s="156" t="s">
        <v>365</v>
      </c>
      <c r="J76" s="133">
        <v>6</v>
      </c>
      <c r="K76" s="330"/>
      <c r="L76" s="330"/>
      <c r="M76" s="24"/>
      <c r="N76" s="330"/>
      <c r="O76" s="367"/>
      <c r="P76" s="330"/>
      <c r="Q76" s="330"/>
      <c r="R76" s="330"/>
      <c r="S76" s="330"/>
      <c r="T76" s="330"/>
      <c r="U76" s="330"/>
      <c r="V76" s="330"/>
      <c r="W76" s="330"/>
      <c r="X76" s="330"/>
      <c r="Y76" s="330"/>
      <c r="Z76" s="330"/>
      <c r="AA76" s="330"/>
      <c r="AB76" s="330"/>
      <c r="AC76" s="330"/>
      <c r="AD76" s="330"/>
      <c r="AE76" s="330"/>
      <c r="AF76" s="330"/>
      <c r="AG76" s="330"/>
      <c r="AH76" s="330"/>
      <c r="AI76" s="330"/>
      <c r="AJ76" s="330"/>
      <c r="AK76" s="330"/>
      <c r="AL76" s="330"/>
      <c r="AM76" s="330"/>
    </row>
    <row r="77" spans="1:39" ht="18" customHeight="1" x14ac:dyDescent="0.3">
      <c r="A77" s="431">
        <v>34</v>
      </c>
      <c r="B77" s="422" t="s">
        <v>612</v>
      </c>
      <c r="C77" s="73" t="s">
        <v>240</v>
      </c>
      <c r="D77" s="158" t="s">
        <v>363</v>
      </c>
      <c r="E77" s="31" t="s">
        <v>364</v>
      </c>
      <c r="F77" s="23" t="s">
        <v>49</v>
      </c>
      <c r="G77" s="374"/>
      <c r="H77" s="133"/>
      <c r="I77" s="156"/>
      <c r="J77" s="133"/>
      <c r="K77" s="330"/>
      <c r="L77" s="330"/>
      <c r="M77" s="24"/>
      <c r="N77" s="330"/>
      <c r="O77" s="367"/>
      <c r="P77" s="330"/>
      <c r="Q77" s="330"/>
      <c r="R77" s="330"/>
      <c r="S77" s="330"/>
      <c r="T77" s="330"/>
      <c r="U77" s="330"/>
      <c r="V77" s="330"/>
      <c r="W77" s="330"/>
      <c r="X77" s="330"/>
      <c r="Y77" s="330"/>
      <c r="Z77" s="330"/>
      <c r="AA77" s="330"/>
      <c r="AB77" s="330"/>
      <c r="AC77" s="330"/>
      <c r="AD77" s="330"/>
      <c r="AE77" s="330"/>
      <c r="AF77" s="330"/>
      <c r="AG77" s="330"/>
      <c r="AH77" s="330"/>
      <c r="AI77" s="330"/>
      <c r="AJ77" s="330"/>
      <c r="AK77" s="330"/>
      <c r="AL77" s="330"/>
      <c r="AM77" s="330"/>
    </row>
    <row r="78" spans="1:39" ht="18" customHeight="1" x14ac:dyDescent="0.3">
      <c r="A78" s="432"/>
      <c r="B78" s="423"/>
      <c r="C78" s="73" t="s">
        <v>240</v>
      </c>
      <c r="D78" s="158" t="s">
        <v>363</v>
      </c>
      <c r="E78" s="31" t="s">
        <v>48</v>
      </c>
      <c r="F78" s="23" t="s">
        <v>49</v>
      </c>
      <c r="G78" s="374" t="s">
        <v>365</v>
      </c>
      <c r="H78" s="133">
        <v>70</v>
      </c>
      <c r="I78" s="156" t="s">
        <v>365</v>
      </c>
      <c r="J78" s="133">
        <v>6</v>
      </c>
      <c r="K78" s="330"/>
      <c r="L78" s="330"/>
      <c r="M78" s="24"/>
      <c r="N78" s="330"/>
      <c r="O78" s="367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30"/>
      <c r="AB78" s="330"/>
      <c r="AC78" s="330"/>
      <c r="AD78" s="330"/>
      <c r="AE78" s="330"/>
      <c r="AF78" s="330"/>
      <c r="AG78" s="330"/>
      <c r="AH78" s="330"/>
      <c r="AI78" s="330"/>
      <c r="AJ78" s="330"/>
      <c r="AK78" s="330"/>
      <c r="AL78" s="330"/>
      <c r="AM78" s="330"/>
    </row>
    <row r="79" spans="1:39" ht="18" customHeight="1" x14ac:dyDescent="0.3">
      <c r="A79" s="431">
        <v>35</v>
      </c>
      <c r="B79" s="422" t="s">
        <v>613</v>
      </c>
      <c r="C79" s="73" t="s">
        <v>240</v>
      </c>
      <c r="D79" s="158" t="s">
        <v>363</v>
      </c>
      <c r="E79" s="31" t="s">
        <v>364</v>
      </c>
      <c r="F79" s="23" t="s">
        <v>49</v>
      </c>
      <c r="G79" s="374"/>
      <c r="H79" s="133"/>
      <c r="I79" s="156"/>
      <c r="J79" s="133"/>
      <c r="K79" s="330"/>
      <c r="L79" s="330"/>
      <c r="M79" s="24"/>
      <c r="N79" s="330"/>
      <c r="O79" s="367"/>
      <c r="P79" s="330"/>
      <c r="Q79" s="330"/>
      <c r="R79" s="330"/>
      <c r="S79" s="330"/>
      <c r="T79" s="330"/>
      <c r="U79" s="330"/>
      <c r="V79" s="330"/>
      <c r="W79" s="330"/>
      <c r="X79" s="330"/>
      <c r="Y79" s="330"/>
      <c r="Z79" s="330"/>
      <c r="AA79" s="330"/>
      <c r="AB79" s="330"/>
      <c r="AC79" s="330"/>
      <c r="AD79" s="330"/>
      <c r="AE79" s="330"/>
      <c r="AF79" s="330"/>
      <c r="AG79" s="330"/>
      <c r="AH79" s="330"/>
      <c r="AI79" s="330"/>
      <c r="AJ79" s="330"/>
      <c r="AK79" s="330"/>
      <c r="AL79" s="330"/>
      <c r="AM79" s="330"/>
    </row>
    <row r="80" spans="1:39" ht="18" customHeight="1" x14ac:dyDescent="0.3">
      <c r="A80" s="432"/>
      <c r="B80" s="423"/>
      <c r="C80" s="73" t="s">
        <v>240</v>
      </c>
      <c r="D80" s="158" t="s">
        <v>363</v>
      </c>
      <c r="E80" s="31" t="s">
        <v>48</v>
      </c>
      <c r="F80" s="23" t="s">
        <v>49</v>
      </c>
      <c r="G80" s="374" t="s">
        <v>365</v>
      </c>
      <c r="H80" s="133">
        <v>70</v>
      </c>
      <c r="I80" s="156" t="s">
        <v>365</v>
      </c>
      <c r="J80" s="133">
        <v>6</v>
      </c>
      <c r="K80" s="330"/>
      <c r="L80" s="330"/>
      <c r="M80" s="24"/>
      <c r="N80" s="330"/>
      <c r="O80" s="367"/>
      <c r="P80" s="330"/>
      <c r="Q80" s="330"/>
      <c r="R80" s="330"/>
      <c r="S80" s="330"/>
      <c r="T80" s="330"/>
      <c r="U80" s="330"/>
      <c r="V80" s="330"/>
      <c r="W80" s="330"/>
      <c r="X80" s="330"/>
      <c r="Y80" s="330"/>
      <c r="Z80" s="330"/>
      <c r="AA80" s="330"/>
      <c r="AB80" s="330"/>
      <c r="AC80" s="330"/>
      <c r="AD80" s="330"/>
      <c r="AE80" s="330"/>
      <c r="AF80" s="330"/>
      <c r="AG80" s="330"/>
      <c r="AH80" s="330"/>
      <c r="AI80" s="330"/>
      <c r="AJ80" s="330"/>
      <c r="AK80" s="330"/>
      <c r="AL80" s="330"/>
      <c r="AM80" s="330"/>
    </row>
    <row r="81" spans="1:39" ht="18" customHeight="1" x14ac:dyDescent="0.3">
      <c r="A81" s="431">
        <v>36</v>
      </c>
      <c r="B81" s="422" t="s">
        <v>614</v>
      </c>
      <c r="C81" s="73" t="s">
        <v>240</v>
      </c>
      <c r="D81" s="158" t="s">
        <v>363</v>
      </c>
      <c r="E81" s="31" t="s">
        <v>364</v>
      </c>
      <c r="F81" s="23" t="s">
        <v>49</v>
      </c>
      <c r="G81" s="374"/>
      <c r="H81" s="133"/>
      <c r="I81" s="156"/>
      <c r="J81" s="133"/>
      <c r="K81" s="330"/>
      <c r="L81" s="330"/>
      <c r="M81" s="24"/>
      <c r="N81" s="330"/>
      <c r="O81" s="367"/>
      <c r="P81" s="330"/>
      <c r="Q81" s="330"/>
      <c r="R81" s="330"/>
      <c r="S81" s="330"/>
      <c r="T81" s="330"/>
      <c r="U81" s="330"/>
      <c r="V81" s="330"/>
      <c r="W81" s="330"/>
      <c r="X81" s="330"/>
      <c r="Y81" s="330"/>
      <c r="Z81" s="330"/>
      <c r="AA81" s="330"/>
      <c r="AB81" s="330"/>
      <c r="AC81" s="330"/>
      <c r="AD81" s="330"/>
      <c r="AE81" s="330"/>
      <c r="AF81" s="330"/>
      <c r="AG81" s="330"/>
      <c r="AH81" s="330"/>
      <c r="AI81" s="330"/>
      <c r="AJ81" s="330"/>
      <c r="AK81" s="330"/>
      <c r="AL81" s="330"/>
      <c r="AM81" s="330"/>
    </row>
    <row r="82" spans="1:39" ht="18" customHeight="1" x14ac:dyDescent="0.3">
      <c r="A82" s="432"/>
      <c r="B82" s="423"/>
      <c r="C82" s="73" t="s">
        <v>240</v>
      </c>
      <c r="D82" s="158" t="s">
        <v>363</v>
      </c>
      <c r="E82" s="31" t="s">
        <v>48</v>
      </c>
      <c r="F82" s="23" t="s">
        <v>49</v>
      </c>
      <c r="G82" s="374" t="s">
        <v>365</v>
      </c>
      <c r="H82" s="133">
        <v>120</v>
      </c>
      <c r="I82" s="156" t="s">
        <v>365</v>
      </c>
      <c r="J82" s="133">
        <v>6</v>
      </c>
      <c r="K82" s="330"/>
      <c r="L82" s="330"/>
      <c r="M82" s="24"/>
      <c r="N82" s="330"/>
      <c r="O82" s="367"/>
      <c r="P82" s="330"/>
      <c r="Q82" s="330"/>
      <c r="R82" s="330"/>
      <c r="S82" s="330"/>
      <c r="T82" s="330"/>
      <c r="U82" s="330"/>
      <c r="V82" s="330"/>
      <c r="W82" s="330"/>
      <c r="X82" s="330"/>
      <c r="Y82" s="330"/>
      <c r="Z82" s="330"/>
      <c r="AA82" s="330"/>
      <c r="AB82" s="330"/>
      <c r="AC82" s="330"/>
      <c r="AD82" s="330"/>
      <c r="AE82" s="330"/>
      <c r="AF82" s="330"/>
      <c r="AG82" s="330"/>
      <c r="AH82" s="330"/>
      <c r="AI82" s="330"/>
      <c r="AJ82" s="330"/>
      <c r="AK82" s="330"/>
      <c r="AL82" s="330"/>
      <c r="AM82" s="330"/>
    </row>
    <row r="83" spans="1:39" ht="18" customHeight="1" x14ac:dyDescent="0.3">
      <c r="A83" s="431">
        <v>37</v>
      </c>
      <c r="B83" s="422" t="s">
        <v>615</v>
      </c>
      <c r="C83" s="73" t="s">
        <v>240</v>
      </c>
      <c r="D83" s="158" t="s">
        <v>363</v>
      </c>
      <c r="E83" s="31" t="s">
        <v>364</v>
      </c>
      <c r="F83" s="23" t="s">
        <v>49</v>
      </c>
      <c r="G83" s="374"/>
      <c r="H83" s="133"/>
      <c r="I83" s="156"/>
      <c r="J83" s="133"/>
      <c r="K83" s="330"/>
      <c r="L83" s="330"/>
      <c r="M83" s="24"/>
      <c r="N83" s="330"/>
      <c r="O83" s="367"/>
      <c r="P83" s="330"/>
      <c r="Q83" s="330"/>
      <c r="R83" s="330"/>
      <c r="S83" s="330"/>
      <c r="T83" s="330"/>
      <c r="U83" s="330"/>
      <c r="V83" s="330"/>
      <c r="W83" s="330"/>
      <c r="X83" s="330"/>
      <c r="Y83" s="330"/>
      <c r="Z83" s="330"/>
      <c r="AA83" s="330"/>
      <c r="AB83" s="330"/>
      <c r="AC83" s="330"/>
      <c r="AD83" s="330"/>
      <c r="AE83" s="330"/>
      <c r="AF83" s="330"/>
      <c r="AG83" s="330"/>
      <c r="AH83" s="330"/>
      <c r="AI83" s="330"/>
      <c r="AJ83" s="330"/>
      <c r="AK83" s="330"/>
      <c r="AL83" s="330"/>
      <c r="AM83" s="330"/>
    </row>
    <row r="84" spans="1:39" ht="18" customHeight="1" x14ac:dyDescent="0.3">
      <c r="A84" s="432"/>
      <c r="B84" s="423"/>
      <c r="C84" s="73" t="s">
        <v>240</v>
      </c>
      <c r="D84" s="158" t="s">
        <v>363</v>
      </c>
      <c r="E84" s="31" t="s">
        <v>48</v>
      </c>
      <c r="F84" s="23" t="s">
        <v>49</v>
      </c>
      <c r="G84" s="374" t="s">
        <v>365</v>
      </c>
      <c r="H84" s="133">
        <v>120</v>
      </c>
      <c r="I84" s="156" t="s">
        <v>365</v>
      </c>
      <c r="J84" s="133">
        <v>6</v>
      </c>
      <c r="K84" s="330"/>
      <c r="L84" s="330"/>
      <c r="M84" s="24"/>
      <c r="N84" s="330"/>
      <c r="O84" s="367"/>
      <c r="P84" s="330"/>
      <c r="Q84" s="330"/>
      <c r="R84" s="330"/>
      <c r="S84" s="330"/>
      <c r="T84" s="330"/>
      <c r="U84" s="330"/>
      <c r="V84" s="330"/>
      <c r="W84" s="330"/>
      <c r="X84" s="330"/>
      <c r="Y84" s="330"/>
      <c r="Z84" s="330"/>
      <c r="AA84" s="330"/>
      <c r="AB84" s="330"/>
      <c r="AC84" s="330"/>
      <c r="AD84" s="330"/>
      <c r="AE84" s="330"/>
      <c r="AF84" s="330"/>
      <c r="AG84" s="330"/>
      <c r="AH84" s="330"/>
      <c r="AI84" s="330"/>
      <c r="AJ84" s="330"/>
      <c r="AK84" s="330"/>
      <c r="AL84" s="330"/>
      <c r="AM84" s="330"/>
    </row>
    <row r="85" spans="1:39" ht="18" customHeight="1" x14ac:dyDescent="0.3">
      <c r="A85" s="431">
        <v>38</v>
      </c>
      <c r="B85" s="422" t="s">
        <v>616</v>
      </c>
      <c r="C85" s="73" t="s">
        <v>240</v>
      </c>
      <c r="D85" s="158" t="s">
        <v>363</v>
      </c>
      <c r="E85" s="31" t="s">
        <v>364</v>
      </c>
      <c r="F85" s="23" t="s">
        <v>49</v>
      </c>
      <c r="G85" s="374"/>
      <c r="H85" s="133"/>
      <c r="I85" s="156"/>
      <c r="J85" s="133"/>
      <c r="K85" s="330"/>
      <c r="L85" s="330"/>
      <c r="M85" s="24"/>
      <c r="N85" s="330"/>
      <c r="O85" s="367"/>
      <c r="P85" s="330"/>
      <c r="Q85" s="330"/>
      <c r="R85" s="330"/>
      <c r="S85" s="330"/>
      <c r="T85" s="330"/>
      <c r="U85" s="330"/>
      <c r="V85" s="330"/>
      <c r="W85" s="330"/>
      <c r="X85" s="330"/>
      <c r="Y85" s="330"/>
      <c r="Z85" s="330"/>
      <c r="AA85" s="330"/>
      <c r="AB85" s="330"/>
      <c r="AC85" s="330"/>
      <c r="AD85" s="330"/>
      <c r="AE85" s="330"/>
      <c r="AF85" s="330"/>
      <c r="AG85" s="330"/>
      <c r="AH85" s="330"/>
      <c r="AI85" s="330"/>
      <c r="AJ85" s="330"/>
      <c r="AK85" s="330"/>
      <c r="AL85" s="330"/>
      <c r="AM85" s="330"/>
    </row>
    <row r="86" spans="1:39" ht="18" customHeight="1" x14ac:dyDescent="0.3">
      <c r="A86" s="432"/>
      <c r="B86" s="423"/>
      <c r="C86" s="73" t="s">
        <v>240</v>
      </c>
      <c r="D86" s="158" t="s">
        <v>363</v>
      </c>
      <c r="E86" s="31" t="s">
        <v>48</v>
      </c>
      <c r="F86" s="23" t="s">
        <v>49</v>
      </c>
      <c r="G86" s="374" t="s">
        <v>365</v>
      </c>
      <c r="H86" s="133">
        <v>300</v>
      </c>
      <c r="I86" s="156" t="s">
        <v>365</v>
      </c>
      <c r="J86" s="133">
        <v>6</v>
      </c>
      <c r="K86" s="330"/>
      <c r="L86" s="330"/>
      <c r="M86" s="24"/>
      <c r="N86" s="330"/>
      <c r="O86" s="367"/>
      <c r="P86" s="330"/>
      <c r="Q86" s="330"/>
      <c r="R86" s="330"/>
      <c r="S86" s="330"/>
      <c r="T86" s="330"/>
      <c r="U86" s="330"/>
      <c r="V86" s="330"/>
      <c r="W86" s="330"/>
      <c r="X86" s="330"/>
      <c r="Y86" s="330"/>
      <c r="Z86" s="330"/>
      <c r="AA86" s="330"/>
      <c r="AB86" s="330"/>
      <c r="AC86" s="330"/>
      <c r="AD86" s="330"/>
      <c r="AE86" s="330"/>
      <c r="AF86" s="330"/>
      <c r="AG86" s="330"/>
      <c r="AH86" s="330"/>
      <c r="AI86" s="330"/>
      <c r="AJ86" s="330"/>
      <c r="AK86" s="330"/>
      <c r="AL86" s="330"/>
      <c r="AM86" s="330"/>
    </row>
    <row r="87" spans="1:39" s="86" customFormat="1" ht="18" customHeight="1" x14ac:dyDescent="0.3">
      <c r="A87" s="431">
        <v>39</v>
      </c>
      <c r="B87" s="422" t="s">
        <v>617</v>
      </c>
      <c r="C87" s="11" t="s">
        <v>512</v>
      </c>
      <c r="D87" s="158" t="s">
        <v>513</v>
      </c>
      <c r="E87" s="31" t="s">
        <v>364</v>
      </c>
      <c r="F87" s="23" t="s">
        <v>49</v>
      </c>
      <c r="G87" s="177"/>
      <c r="H87" s="131"/>
      <c r="I87" s="158"/>
      <c r="J87" s="131"/>
      <c r="K87" s="132"/>
      <c r="L87" s="132"/>
      <c r="M87" s="23"/>
      <c r="N87" s="132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  <c r="AA87" s="144"/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  <c r="AL87" s="144"/>
      <c r="AM87" s="144"/>
    </row>
    <row r="88" spans="1:39" s="90" customFormat="1" ht="18" customHeight="1" x14ac:dyDescent="0.3">
      <c r="A88" s="432"/>
      <c r="B88" s="423"/>
      <c r="C88" s="12"/>
      <c r="D88" s="156"/>
      <c r="E88" s="31" t="s">
        <v>48</v>
      </c>
      <c r="F88" s="23" t="s">
        <v>49</v>
      </c>
      <c r="G88" s="374" t="s">
        <v>514</v>
      </c>
      <c r="H88" s="133">
        <v>90</v>
      </c>
      <c r="I88" s="156"/>
      <c r="J88" s="133"/>
      <c r="K88" s="132" t="s">
        <v>218</v>
      </c>
      <c r="L88" s="132" t="s">
        <v>218</v>
      </c>
      <c r="M88" s="24">
        <v>0</v>
      </c>
      <c r="N88" s="330">
        <v>0</v>
      </c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68"/>
      <c r="Z88" s="368"/>
      <c r="AA88" s="368">
        <v>138</v>
      </c>
      <c r="AB88" s="368" t="s">
        <v>515</v>
      </c>
      <c r="AC88" s="368">
        <v>228</v>
      </c>
      <c r="AD88" s="368" t="s">
        <v>515</v>
      </c>
      <c r="AE88" s="368">
        <v>339</v>
      </c>
      <c r="AF88" s="368" t="s">
        <v>515</v>
      </c>
      <c r="AG88" s="368">
        <v>1013</v>
      </c>
      <c r="AH88" s="368" t="s">
        <v>515</v>
      </c>
      <c r="AI88" s="368">
        <v>965</v>
      </c>
      <c r="AJ88" s="368" t="s">
        <v>515</v>
      </c>
      <c r="AK88" s="368">
        <v>994</v>
      </c>
      <c r="AL88" s="368" t="s">
        <v>515</v>
      </c>
      <c r="AM88" s="368"/>
    </row>
    <row r="89" spans="1:39" s="90" customFormat="1" ht="18" customHeight="1" x14ac:dyDescent="0.3">
      <c r="A89" s="431">
        <v>40</v>
      </c>
      <c r="B89" s="422" t="s">
        <v>618</v>
      </c>
      <c r="C89" s="11" t="s">
        <v>512</v>
      </c>
      <c r="D89" s="156" t="s">
        <v>516</v>
      </c>
      <c r="E89" s="31" t="s">
        <v>364</v>
      </c>
      <c r="F89" s="23" t="s">
        <v>49</v>
      </c>
      <c r="G89" s="374"/>
      <c r="H89" s="133"/>
      <c r="I89" s="156"/>
      <c r="J89" s="133"/>
      <c r="K89" s="330" t="s">
        <v>218</v>
      </c>
      <c r="L89" s="330" t="s">
        <v>218</v>
      </c>
      <c r="M89" s="24">
        <v>34172</v>
      </c>
      <c r="N89" s="330">
        <v>28287</v>
      </c>
      <c r="O89" s="368">
        <v>2167</v>
      </c>
      <c r="P89" s="368" t="s">
        <v>515</v>
      </c>
      <c r="Q89" s="368">
        <v>1889</v>
      </c>
      <c r="R89" s="368" t="s">
        <v>515</v>
      </c>
      <c r="S89" s="368">
        <v>1855</v>
      </c>
      <c r="T89" s="368" t="s">
        <v>515</v>
      </c>
      <c r="U89" s="368">
        <v>2415</v>
      </c>
      <c r="V89" s="368" t="s">
        <v>515</v>
      </c>
      <c r="W89" s="368">
        <v>2353</v>
      </c>
      <c r="X89" s="368" t="s">
        <v>515</v>
      </c>
      <c r="Y89" s="368">
        <v>1728</v>
      </c>
      <c r="Z89" s="368" t="s">
        <v>515</v>
      </c>
      <c r="AA89" s="368">
        <v>1706</v>
      </c>
      <c r="AB89" s="368" t="s">
        <v>515</v>
      </c>
      <c r="AC89" s="368">
        <v>1965</v>
      </c>
      <c r="AD89" s="368" t="s">
        <v>515</v>
      </c>
      <c r="AE89" s="368">
        <v>2353</v>
      </c>
      <c r="AF89" s="368" t="s">
        <v>515</v>
      </c>
      <c r="AG89" s="368">
        <v>2350</v>
      </c>
      <c r="AH89" s="368" t="s">
        <v>515</v>
      </c>
      <c r="AI89" s="368">
        <v>1586</v>
      </c>
      <c r="AJ89" s="368" t="s">
        <v>515</v>
      </c>
      <c r="AK89" s="368">
        <v>1853</v>
      </c>
      <c r="AL89" s="368" t="s">
        <v>515</v>
      </c>
      <c r="AM89" s="368">
        <f t="shared" ref="AM89:AM100" si="1">SUM(O89:AK89)</f>
        <v>24220</v>
      </c>
    </row>
    <row r="90" spans="1:39" s="90" customFormat="1" ht="18" customHeight="1" x14ac:dyDescent="0.3">
      <c r="A90" s="432"/>
      <c r="B90" s="423"/>
      <c r="C90" s="12"/>
      <c r="D90" s="156"/>
      <c r="E90" s="31" t="s">
        <v>48</v>
      </c>
      <c r="F90" s="23" t="s">
        <v>49</v>
      </c>
      <c r="G90" s="374" t="s">
        <v>517</v>
      </c>
      <c r="H90" s="133">
        <v>45</v>
      </c>
      <c r="I90" s="156"/>
      <c r="J90" s="133"/>
      <c r="K90" s="330" t="s">
        <v>218</v>
      </c>
      <c r="L90" s="330" t="s">
        <v>218</v>
      </c>
      <c r="M90" s="24">
        <v>23818</v>
      </c>
      <c r="N90" s="330">
        <v>25631</v>
      </c>
      <c r="O90" s="368">
        <v>2095</v>
      </c>
      <c r="P90" s="368" t="s">
        <v>515</v>
      </c>
      <c r="Q90" s="368">
        <v>1700</v>
      </c>
      <c r="R90" s="368" t="s">
        <v>515</v>
      </c>
      <c r="S90" s="368">
        <v>1069</v>
      </c>
      <c r="T90" s="368" t="s">
        <v>515</v>
      </c>
      <c r="U90" s="368">
        <v>1338</v>
      </c>
      <c r="V90" s="368" t="s">
        <v>515</v>
      </c>
      <c r="W90" s="368">
        <v>1338</v>
      </c>
      <c r="X90" s="368" t="s">
        <v>515</v>
      </c>
      <c r="Y90" s="368">
        <v>1100</v>
      </c>
      <c r="Z90" s="368" t="s">
        <v>515</v>
      </c>
      <c r="AA90" s="368">
        <v>1424</v>
      </c>
      <c r="AB90" s="368" t="s">
        <v>515</v>
      </c>
      <c r="AC90" s="368">
        <v>1229</v>
      </c>
      <c r="AD90" s="368" t="s">
        <v>515</v>
      </c>
      <c r="AE90" s="368">
        <v>1476</v>
      </c>
      <c r="AF90" s="368" t="s">
        <v>515</v>
      </c>
      <c r="AG90" s="368">
        <v>1476</v>
      </c>
      <c r="AH90" s="368" t="s">
        <v>515</v>
      </c>
      <c r="AI90" s="368">
        <v>929</v>
      </c>
      <c r="AJ90" s="368" t="s">
        <v>515</v>
      </c>
      <c r="AK90" s="368">
        <v>1120</v>
      </c>
      <c r="AL90" s="368" t="s">
        <v>515</v>
      </c>
      <c r="AM90" s="368">
        <f t="shared" si="1"/>
        <v>16294</v>
      </c>
    </row>
    <row r="91" spans="1:39" s="90" customFormat="1" ht="18" customHeight="1" x14ac:dyDescent="0.3">
      <c r="A91" s="431">
        <v>41</v>
      </c>
      <c r="B91" s="422" t="s">
        <v>619</v>
      </c>
      <c r="C91" s="11" t="s">
        <v>512</v>
      </c>
      <c r="D91" s="156" t="s">
        <v>516</v>
      </c>
      <c r="E91" s="31" t="s">
        <v>364</v>
      </c>
      <c r="F91" s="23" t="s">
        <v>49</v>
      </c>
      <c r="G91" s="374"/>
      <c r="H91" s="133"/>
      <c r="I91" s="156"/>
      <c r="J91" s="133"/>
      <c r="K91" s="330" t="s">
        <v>218</v>
      </c>
      <c r="L91" s="330" t="s">
        <v>218</v>
      </c>
      <c r="M91" s="24">
        <v>2575</v>
      </c>
      <c r="N91" s="330">
        <v>2601</v>
      </c>
      <c r="O91" s="368">
        <v>200</v>
      </c>
      <c r="P91" s="368" t="s">
        <v>515</v>
      </c>
      <c r="Q91" s="368">
        <v>209</v>
      </c>
      <c r="R91" s="368" t="s">
        <v>515</v>
      </c>
      <c r="S91" s="368">
        <v>176</v>
      </c>
      <c r="T91" s="368" t="s">
        <v>515</v>
      </c>
      <c r="U91" s="368">
        <v>233</v>
      </c>
      <c r="V91" s="368" t="s">
        <v>515</v>
      </c>
      <c r="W91" s="368">
        <v>209</v>
      </c>
      <c r="X91" s="368" t="s">
        <v>515</v>
      </c>
      <c r="Y91" s="368">
        <v>212</v>
      </c>
      <c r="Z91" s="368" t="s">
        <v>515</v>
      </c>
      <c r="AA91" s="368">
        <v>218</v>
      </c>
      <c r="AB91" s="368" t="s">
        <v>515</v>
      </c>
      <c r="AC91" s="368">
        <v>150</v>
      </c>
      <c r="AD91" s="368" t="s">
        <v>515</v>
      </c>
      <c r="AE91" s="368">
        <v>217</v>
      </c>
      <c r="AF91" s="368" t="s">
        <v>515</v>
      </c>
      <c r="AG91" s="368">
        <v>214</v>
      </c>
      <c r="AH91" s="368" t="s">
        <v>515</v>
      </c>
      <c r="AI91" s="368">
        <v>180</v>
      </c>
      <c r="AJ91" s="368" t="s">
        <v>515</v>
      </c>
      <c r="AK91" s="368">
        <v>220</v>
      </c>
      <c r="AL91" s="368" t="s">
        <v>515</v>
      </c>
      <c r="AM91" s="368">
        <f t="shared" si="1"/>
        <v>2438</v>
      </c>
    </row>
    <row r="92" spans="1:39" s="90" customFormat="1" ht="18" customHeight="1" x14ac:dyDescent="0.3">
      <c r="A92" s="432"/>
      <c r="B92" s="423"/>
      <c r="C92" s="12"/>
      <c r="D92" s="156"/>
      <c r="E92" s="31" t="s">
        <v>48</v>
      </c>
      <c r="F92" s="23" t="s">
        <v>49</v>
      </c>
      <c r="G92" s="374" t="s">
        <v>518</v>
      </c>
      <c r="H92" s="133">
        <v>33</v>
      </c>
      <c r="I92" s="156"/>
      <c r="J92" s="133"/>
      <c r="K92" s="330" t="s">
        <v>218</v>
      </c>
      <c r="L92" s="330" t="s">
        <v>218</v>
      </c>
      <c r="M92" s="24">
        <v>9772</v>
      </c>
      <c r="N92" s="330">
        <v>10703</v>
      </c>
      <c r="O92" s="368">
        <v>1041</v>
      </c>
      <c r="P92" s="368" t="s">
        <v>515</v>
      </c>
      <c r="Q92" s="368">
        <v>910</v>
      </c>
      <c r="R92" s="368" t="s">
        <v>515</v>
      </c>
      <c r="S92" s="368">
        <v>727</v>
      </c>
      <c r="T92" s="368" t="s">
        <v>515</v>
      </c>
      <c r="U92" s="368">
        <v>870</v>
      </c>
      <c r="V92" s="368" t="s">
        <v>515</v>
      </c>
      <c r="W92" s="368">
        <v>570</v>
      </c>
      <c r="X92" s="368" t="s">
        <v>515</v>
      </c>
      <c r="Y92" s="368">
        <v>701</v>
      </c>
      <c r="Z92" s="368" t="s">
        <v>515</v>
      </c>
      <c r="AA92" s="368">
        <v>686</v>
      </c>
      <c r="AB92" s="368" t="s">
        <v>515</v>
      </c>
      <c r="AC92" s="368">
        <v>520</v>
      </c>
      <c r="AD92" s="368" t="s">
        <v>515</v>
      </c>
      <c r="AE92" s="368">
        <v>678</v>
      </c>
      <c r="AF92" s="368" t="s">
        <v>515</v>
      </c>
      <c r="AG92" s="368">
        <v>794</v>
      </c>
      <c r="AH92" s="368" t="s">
        <v>515</v>
      </c>
      <c r="AI92" s="368">
        <v>682</v>
      </c>
      <c r="AJ92" s="368" t="s">
        <v>515</v>
      </c>
      <c r="AK92" s="368">
        <v>805</v>
      </c>
      <c r="AL92" s="368" t="s">
        <v>515</v>
      </c>
      <c r="AM92" s="368">
        <f t="shared" si="1"/>
        <v>8984</v>
      </c>
    </row>
    <row r="93" spans="1:39" s="90" customFormat="1" ht="18" customHeight="1" x14ac:dyDescent="0.3">
      <c r="A93" s="431">
        <v>42</v>
      </c>
      <c r="B93" s="422" t="s">
        <v>620</v>
      </c>
      <c r="C93" s="11" t="s">
        <v>512</v>
      </c>
      <c r="D93" s="156" t="s">
        <v>516</v>
      </c>
      <c r="E93" s="31" t="s">
        <v>364</v>
      </c>
      <c r="F93" s="23" t="s">
        <v>49</v>
      </c>
      <c r="G93" s="374"/>
      <c r="H93" s="133"/>
      <c r="I93" s="156"/>
      <c r="J93" s="133"/>
      <c r="K93" s="330" t="s">
        <v>218</v>
      </c>
      <c r="L93" s="330" t="s">
        <v>218</v>
      </c>
      <c r="M93" s="24">
        <v>2490</v>
      </c>
      <c r="N93" s="330">
        <v>1646</v>
      </c>
      <c r="O93" s="368">
        <v>142</v>
      </c>
      <c r="P93" s="368" t="s">
        <v>515</v>
      </c>
      <c r="Q93" s="368">
        <v>139</v>
      </c>
      <c r="R93" s="368" t="s">
        <v>515</v>
      </c>
      <c r="S93" s="368">
        <v>117</v>
      </c>
      <c r="T93" s="368" t="s">
        <v>515</v>
      </c>
      <c r="U93" s="368">
        <v>150</v>
      </c>
      <c r="V93" s="368" t="s">
        <v>515</v>
      </c>
      <c r="W93" s="368">
        <v>120</v>
      </c>
      <c r="X93" s="368" t="s">
        <v>515</v>
      </c>
      <c r="Y93" s="368">
        <v>152</v>
      </c>
      <c r="Z93" s="368" t="s">
        <v>515</v>
      </c>
      <c r="AA93" s="368">
        <v>142</v>
      </c>
      <c r="AB93" s="368" t="s">
        <v>515</v>
      </c>
      <c r="AC93" s="368">
        <v>101</v>
      </c>
      <c r="AD93" s="368" t="s">
        <v>515</v>
      </c>
      <c r="AE93" s="368">
        <v>147</v>
      </c>
      <c r="AF93" s="368" t="s">
        <v>515</v>
      </c>
      <c r="AG93" s="368">
        <v>139</v>
      </c>
      <c r="AH93" s="368" t="s">
        <v>515</v>
      </c>
      <c r="AI93" s="368">
        <v>130</v>
      </c>
      <c r="AJ93" s="368" t="s">
        <v>515</v>
      </c>
      <c r="AK93" s="368">
        <v>142</v>
      </c>
      <c r="AL93" s="368" t="s">
        <v>515</v>
      </c>
      <c r="AM93" s="368">
        <f t="shared" si="1"/>
        <v>1621</v>
      </c>
    </row>
    <row r="94" spans="1:39" s="90" customFormat="1" ht="18" customHeight="1" x14ac:dyDescent="0.3">
      <c r="A94" s="432"/>
      <c r="B94" s="423"/>
      <c r="C94" s="12"/>
      <c r="D94" s="156"/>
      <c r="E94" s="31" t="s">
        <v>48</v>
      </c>
      <c r="F94" s="23" t="s">
        <v>49</v>
      </c>
      <c r="G94" s="374" t="s">
        <v>519</v>
      </c>
      <c r="H94" s="133">
        <v>36</v>
      </c>
      <c r="I94" s="156"/>
      <c r="J94" s="133"/>
      <c r="K94" s="330" t="s">
        <v>218</v>
      </c>
      <c r="L94" s="330" t="s">
        <v>218</v>
      </c>
      <c r="M94" s="24">
        <v>6975</v>
      </c>
      <c r="N94" s="330">
        <v>6193</v>
      </c>
      <c r="O94" s="368">
        <v>685</v>
      </c>
      <c r="P94" s="368" t="s">
        <v>515</v>
      </c>
      <c r="Q94" s="368">
        <v>644</v>
      </c>
      <c r="R94" s="368" t="s">
        <v>515</v>
      </c>
      <c r="S94" s="368">
        <v>505</v>
      </c>
      <c r="T94" s="368" t="s">
        <v>515</v>
      </c>
      <c r="U94" s="368">
        <v>644</v>
      </c>
      <c r="V94" s="368" t="s">
        <v>515</v>
      </c>
      <c r="W94" s="368">
        <v>505</v>
      </c>
      <c r="X94" s="368" t="s">
        <v>515</v>
      </c>
      <c r="Y94" s="368">
        <v>668</v>
      </c>
      <c r="Z94" s="368" t="s">
        <v>515</v>
      </c>
      <c r="AA94" s="368">
        <v>688</v>
      </c>
      <c r="AB94" s="368" t="s">
        <v>515</v>
      </c>
      <c r="AC94" s="368">
        <v>472</v>
      </c>
      <c r="AD94" s="368" t="s">
        <v>515</v>
      </c>
      <c r="AE94" s="368">
        <v>600</v>
      </c>
      <c r="AF94" s="368" t="s">
        <v>515</v>
      </c>
      <c r="AG94" s="368">
        <v>572</v>
      </c>
      <c r="AH94" s="368" t="s">
        <v>515</v>
      </c>
      <c r="AI94" s="368">
        <v>598</v>
      </c>
      <c r="AJ94" s="368" t="s">
        <v>515</v>
      </c>
      <c r="AK94" s="368">
        <v>625</v>
      </c>
      <c r="AL94" s="368" t="s">
        <v>515</v>
      </c>
      <c r="AM94" s="368">
        <f t="shared" si="1"/>
        <v>7206</v>
      </c>
    </row>
    <row r="95" spans="1:39" s="90" customFormat="1" ht="18" customHeight="1" x14ac:dyDescent="0.3">
      <c r="A95" s="431">
        <v>43</v>
      </c>
      <c r="B95" s="422" t="s">
        <v>621</v>
      </c>
      <c r="C95" s="11" t="s">
        <v>512</v>
      </c>
      <c r="D95" s="156" t="s">
        <v>516</v>
      </c>
      <c r="E95" s="31" t="s">
        <v>364</v>
      </c>
      <c r="F95" s="23" t="s">
        <v>49</v>
      </c>
      <c r="G95" s="374"/>
      <c r="H95" s="133"/>
      <c r="I95" s="156"/>
      <c r="J95" s="133"/>
      <c r="K95" s="330" t="s">
        <v>218</v>
      </c>
      <c r="L95" s="330" t="s">
        <v>218</v>
      </c>
      <c r="M95" s="24">
        <v>2988</v>
      </c>
      <c r="N95" s="330">
        <v>3063</v>
      </c>
      <c r="O95" s="368">
        <v>400</v>
      </c>
      <c r="P95" s="368" t="s">
        <v>515</v>
      </c>
      <c r="Q95" s="368">
        <v>370</v>
      </c>
      <c r="R95" s="368" t="s">
        <v>515</v>
      </c>
      <c r="S95" s="368">
        <v>434</v>
      </c>
      <c r="T95" s="368" t="s">
        <v>515</v>
      </c>
      <c r="U95" s="368">
        <v>367</v>
      </c>
      <c r="V95" s="368" t="s">
        <v>515</v>
      </c>
      <c r="W95" s="368">
        <v>364</v>
      </c>
      <c r="X95" s="368" t="s">
        <v>515</v>
      </c>
      <c r="Y95" s="368">
        <v>362</v>
      </c>
      <c r="Z95" s="368" t="s">
        <v>515</v>
      </c>
      <c r="AA95" s="368">
        <v>381</v>
      </c>
      <c r="AB95" s="368" t="s">
        <v>515</v>
      </c>
      <c r="AC95" s="368">
        <v>279</v>
      </c>
      <c r="AD95" s="368" t="s">
        <v>515</v>
      </c>
      <c r="AE95" s="368">
        <v>386</v>
      </c>
      <c r="AF95" s="368" t="s">
        <v>515</v>
      </c>
      <c r="AG95" s="368">
        <v>377</v>
      </c>
      <c r="AH95" s="368" t="s">
        <v>515</v>
      </c>
      <c r="AI95" s="368">
        <v>352</v>
      </c>
      <c r="AJ95" s="368" t="s">
        <v>515</v>
      </c>
      <c r="AK95" s="368">
        <v>375</v>
      </c>
      <c r="AL95" s="368" t="s">
        <v>515</v>
      </c>
      <c r="AM95" s="368">
        <f t="shared" si="1"/>
        <v>4447</v>
      </c>
    </row>
    <row r="96" spans="1:39" s="90" customFormat="1" ht="18" customHeight="1" x14ac:dyDescent="0.3">
      <c r="A96" s="432"/>
      <c r="B96" s="423"/>
      <c r="C96" s="12"/>
      <c r="D96" s="156"/>
      <c r="E96" s="31" t="s">
        <v>48</v>
      </c>
      <c r="F96" s="23" t="s">
        <v>49</v>
      </c>
      <c r="G96" s="374" t="s">
        <v>519</v>
      </c>
      <c r="H96" s="133">
        <v>36</v>
      </c>
      <c r="I96" s="156"/>
      <c r="J96" s="133"/>
      <c r="K96" s="330" t="s">
        <v>218</v>
      </c>
      <c r="L96" s="330" t="s">
        <v>218</v>
      </c>
      <c r="M96" s="24">
        <v>4236</v>
      </c>
      <c r="N96" s="330">
        <v>1619</v>
      </c>
      <c r="O96" s="368">
        <v>135</v>
      </c>
      <c r="P96" s="368" t="s">
        <v>515</v>
      </c>
      <c r="Q96" s="368">
        <v>136</v>
      </c>
      <c r="R96" s="368" t="s">
        <v>515</v>
      </c>
      <c r="S96" s="368">
        <v>156</v>
      </c>
      <c r="T96" s="368" t="s">
        <v>515</v>
      </c>
      <c r="U96" s="368">
        <v>142</v>
      </c>
      <c r="V96" s="368" t="s">
        <v>515</v>
      </c>
      <c r="W96" s="368">
        <v>151</v>
      </c>
      <c r="X96" s="368" t="s">
        <v>515</v>
      </c>
      <c r="Y96" s="368">
        <v>141</v>
      </c>
      <c r="Z96" s="368" t="s">
        <v>515</v>
      </c>
      <c r="AA96" s="368">
        <v>144</v>
      </c>
      <c r="AB96" s="368" t="s">
        <v>515</v>
      </c>
      <c r="AC96" s="368">
        <v>114</v>
      </c>
      <c r="AD96" s="368" t="s">
        <v>515</v>
      </c>
      <c r="AE96" s="368">
        <v>137</v>
      </c>
      <c r="AF96" s="368" t="s">
        <v>515</v>
      </c>
      <c r="AG96" s="368">
        <v>130</v>
      </c>
      <c r="AH96" s="368" t="s">
        <v>515</v>
      </c>
      <c r="AI96" s="368">
        <v>123</v>
      </c>
      <c r="AJ96" s="368" t="s">
        <v>515</v>
      </c>
      <c r="AK96" s="368">
        <v>154</v>
      </c>
      <c r="AL96" s="368" t="s">
        <v>515</v>
      </c>
      <c r="AM96" s="368">
        <f t="shared" si="1"/>
        <v>1663</v>
      </c>
    </row>
    <row r="97" spans="1:39" s="90" customFormat="1" ht="18" customHeight="1" x14ac:dyDescent="0.3">
      <c r="A97" s="431">
        <v>44</v>
      </c>
      <c r="B97" s="422" t="s">
        <v>622</v>
      </c>
      <c r="C97" s="11" t="s">
        <v>512</v>
      </c>
      <c r="D97" s="156" t="s">
        <v>516</v>
      </c>
      <c r="E97" s="31" t="s">
        <v>364</v>
      </c>
      <c r="F97" s="23" t="s">
        <v>49</v>
      </c>
      <c r="G97" s="374"/>
      <c r="H97" s="133"/>
      <c r="I97" s="156"/>
      <c r="J97" s="133"/>
      <c r="K97" s="330" t="s">
        <v>218</v>
      </c>
      <c r="L97" s="330" t="s">
        <v>218</v>
      </c>
      <c r="M97" s="24">
        <v>31280</v>
      </c>
      <c r="N97" s="330">
        <v>31200</v>
      </c>
      <c r="O97" s="368">
        <v>2800</v>
      </c>
      <c r="P97" s="368" t="s">
        <v>515</v>
      </c>
      <c r="Q97" s="368">
        <v>1500</v>
      </c>
      <c r="R97" s="368" t="s">
        <v>515</v>
      </c>
      <c r="S97" s="368">
        <v>1600</v>
      </c>
      <c r="T97" s="368" t="s">
        <v>515</v>
      </c>
      <c r="U97" s="368">
        <v>2340</v>
      </c>
      <c r="V97" s="368" t="s">
        <v>515</v>
      </c>
      <c r="W97" s="368">
        <v>1800</v>
      </c>
      <c r="X97" s="368" t="s">
        <v>515</v>
      </c>
      <c r="Y97" s="368">
        <v>2180</v>
      </c>
      <c r="Z97" s="368" t="s">
        <v>515</v>
      </c>
      <c r="AA97" s="368">
        <v>2080</v>
      </c>
      <c r="AB97" s="368" t="s">
        <v>515</v>
      </c>
      <c r="AC97" s="368">
        <v>1480</v>
      </c>
      <c r="AD97" s="368" t="s">
        <v>515</v>
      </c>
      <c r="AE97" s="368">
        <v>2040</v>
      </c>
      <c r="AF97" s="368" t="s">
        <v>515</v>
      </c>
      <c r="AG97" s="368">
        <v>1920</v>
      </c>
      <c r="AH97" s="368" t="s">
        <v>515</v>
      </c>
      <c r="AI97" s="368">
        <v>1940</v>
      </c>
      <c r="AJ97" s="368" t="s">
        <v>515</v>
      </c>
      <c r="AK97" s="368">
        <v>2180</v>
      </c>
      <c r="AL97" s="368" t="s">
        <v>515</v>
      </c>
      <c r="AM97" s="368">
        <f t="shared" si="1"/>
        <v>23860</v>
      </c>
    </row>
    <row r="98" spans="1:39" s="90" customFormat="1" ht="18" customHeight="1" x14ac:dyDescent="0.3">
      <c r="A98" s="432"/>
      <c r="B98" s="423"/>
      <c r="C98" s="12"/>
      <c r="D98" s="156"/>
      <c r="E98" s="31" t="s">
        <v>48</v>
      </c>
      <c r="F98" s="23" t="s">
        <v>49</v>
      </c>
      <c r="G98" s="374" t="s">
        <v>520</v>
      </c>
      <c r="H98" s="133">
        <v>312</v>
      </c>
      <c r="I98" s="156"/>
      <c r="J98" s="133"/>
      <c r="K98" s="330" t="s">
        <v>218</v>
      </c>
      <c r="L98" s="330" t="s">
        <v>218</v>
      </c>
      <c r="M98" s="24">
        <v>32619</v>
      </c>
      <c r="N98" s="330">
        <v>35678</v>
      </c>
      <c r="O98" s="368">
        <v>5000</v>
      </c>
      <c r="P98" s="368" t="s">
        <v>515</v>
      </c>
      <c r="Q98" s="368">
        <v>4020</v>
      </c>
      <c r="R98" s="368" t="s">
        <v>515</v>
      </c>
      <c r="S98" s="368">
        <v>3244</v>
      </c>
      <c r="T98" s="368" t="s">
        <v>515</v>
      </c>
      <c r="U98" s="368">
        <v>2594</v>
      </c>
      <c r="V98" s="368" t="s">
        <v>515</v>
      </c>
      <c r="W98" s="368">
        <v>1320</v>
      </c>
      <c r="X98" s="368" t="s">
        <v>515</v>
      </c>
      <c r="Y98" s="368">
        <v>1138</v>
      </c>
      <c r="Z98" s="368" t="s">
        <v>515</v>
      </c>
      <c r="AA98" s="368">
        <v>1340</v>
      </c>
      <c r="AB98" s="368" t="s">
        <v>515</v>
      </c>
      <c r="AC98" s="368">
        <v>1298</v>
      </c>
      <c r="AD98" s="368" t="s">
        <v>515</v>
      </c>
      <c r="AE98" s="368">
        <v>1964</v>
      </c>
      <c r="AF98" s="368" t="s">
        <v>515</v>
      </c>
      <c r="AG98" s="368">
        <v>2393</v>
      </c>
      <c r="AH98" s="368" t="s">
        <v>515</v>
      </c>
      <c r="AI98" s="368">
        <v>2800</v>
      </c>
      <c r="AJ98" s="368" t="s">
        <v>515</v>
      </c>
      <c r="AK98" s="368">
        <v>3445</v>
      </c>
      <c r="AL98" s="368" t="s">
        <v>515</v>
      </c>
      <c r="AM98" s="368">
        <f t="shared" si="1"/>
        <v>30556</v>
      </c>
    </row>
    <row r="99" spans="1:39" s="90" customFormat="1" ht="18" customHeight="1" x14ac:dyDescent="0.3">
      <c r="A99" s="431">
        <v>45</v>
      </c>
      <c r="B99" s="422" t="s">
        <v>623</v>
      </c>
      <c r="C99" s="11" t="s">
        <v>512</v>
      </c>
      <c r="D99" s="156" t="s">
        <v>516</v>
      </c>
      <c r="E99" s="31" t="s">
        <v>364</v>
      </c>
      <c r="F99" s="23" t="s">
        <v>49</v>
      </c>
      <c r="G99" s="374"/>
      <c r="H99" s="133"/>
      <c r="I99" s="156"/>
      <c r="J99" s="133"/>
      <c r="K99" s="330" t="s">
        <v>218</v>
      </c>
      <c r="L99" s="330" t="s">
        <v>218</v>
      </c>
      <c r="M99" s="24">
        <v>8234</v>
      </c>
      <c r="N99" s="330">
        <v>9856</v>
      </c>
      <c r="O99" s="368">
        <v>783</v>
      </c>
      <c r="P99" s="368" t="s">
        <v>515</v>
      </c>
      <c r="Q99" s="368">
        <v>955</v>
      </c>
      <c r="R99" s="368" t="s">
        <v>515</v>
      </c>
      <c r="S99" s="368">
        <v>568</v>
      </c>
      <c r="T99" s="368" t="s">
        <v>515</v>
      </c>
      <c r="U99" s="368">
        <v>1022</v>
      </c>
      <c r="V99" s="368" t="s">
        <v>515</v>
      </c>
      <c r="W99" s="368">
        <v>762</v>
      </c>
      <c r="X99" s="368" t="s">
        <v>515</v>
      </c>
      <c r="Y99" s="368">
        <v>853</v>
      </c>
      <c r="Z99" s="368" t="s">
        <v>515</v>
      </c>
      <c r="AA99" s="368">
        <v>688</v>
      </c>
      <c r="AB99" s="368" t="s">
        <v>515</v>
      </c>
      <c r="AC99" s="368">
        <v>765</v>
      </c>
      <c r="AD99" s="368" t="s">
        <v>515</v>
      </c>
      <c r="AE99" s="368">
        <v>789</v>
      </c>
      <c r="AF99" s="368" t="s">
        <v>515</v>
      </c>
      <c r="AG99" s="368">
        <v>774</v>
      </c>
      <c r="AH99" s="368" t="s">
        <v>515</v>
      </c>
      <c r="AI99" s="368">
        <v>876</v>
      </c>
      <c r="AJ99" s="368" t="s">
        <v>515</v>
      </c>
      <c r="AK99" s="368">
        <v>788</v>
      </c>
      <c r="AL99" s="368" t="s">
        <v>515</v>
      </c>
      <c r="AM99" s="368">
        <f t="shared" si="1"/>
        <v>9623</v>
      </c>
    </row>
    <row r="100" spans="1:39" s="90" customFormat="1" ht="18" customHeight="1" x14ac:dyDescent="0.3">
      <c r="A100" s="432"/>
      <c r="B100" s="423"/>
      <c r="C100" s="12"/>
      <c r="D100" s="156"/>
      <c r="E100" s="31" t="s">
        <v>48</v>
      </c>
      <c r="F100" s="23" t="s">
        <v>49</v>
      </c>
      <c r="G100" s="374" t="s">
        <v>519</v>
      </c>
      <c r="H100" s="133">
        <v>172</v>
      </c>
      <c r="I100" s="156"/>
      <c r="J100" s="133"/>
      <c r="K100" s="330" t="s">
        <v>218</v>
      </c>
      <c r="L100" s="330" t="s">
        <v>218</v>
      </c>
      <c r="M100" s="24">
        <v>6161</v>
      </c>
      <c r="N100" s="330">
        <v>8525</v>
      </c>
      <c r="O100" s="368">
        <v>740</v>
      </c>
      <c r="P100" s="368" t="s">
        <v>515</v>
      </c>
      <c r="Q100" s="368">
        <v>823</v>
      </c>
      <c r="R100" s="368" t="s">
        <v>515</v>
      </c>
      <c r="S100" s="368">
        <v>486</v>
      </c>
      <c r="T100" s="368" t="s">
        <v>515</v>
      </c>
      <c r="U100" s="368">
        <v>935</v>
      </c>
      <c r="V100" s="368" t="s">
        <v>515</v>
      </c>
      <c r="W100" s="368">
        <v>744</v>
      </c>
      <c r="X100" s="368" t="s">
        <v>515</v>
      </c>
      <c r="Y100" s="368">
        <v>887</v>
      </c>
      <c r="Z100" s="368" t="s">
        <v>515</v>
      </c>
      <c r="AA100" s="368">
        <v>777</v>
      </c>
      <c r="AB100" s="368" t="s">
        <v>515</v>
      </c>
      <c r="AC100" s="368">
        <v>745</v>
      </c>
      <c r="AD100" s="368" t="s">
        <v>515</v>
      </c>
      <c r="AE100" s="368">
        <v>680</v>
      </c>
      <c r="AF100" s="368" t="s">
        <v>515</v>
      </c>
      <c r="AG100" s="368">
        <v>627</v>
      </c>
      <c r="AH100" s="368" t="s">
        <v>515</v>
      </c>
      <c r="AI100" s="368">
        <v>764</v>
      </c>
      <c r="AJ100" s="368" t="s">
        <v>515</v>
      </c>
      <c r="AK100" s="368">
        <v>670</v>
      </c>
      <c r="AL100" s="368" t="s">
        <v>515</v>
      </c>
      <c r="AM100" s="368">
        <f t="shared" si="1"/>
        <v>8878</v>
      </c>
    </row>
    <row r="101" spans="1:39" s="90" customFormat="1" ht="18" customHeight="1" x14ac:dyDescent="0.3">
      <c r="A101" s="431">
        <v>46</v>
      </c>
      <c r="B101" s="422" t="s">
        <v>624</v>
      </c>
      <c r="C101" s="11" t="s">
        <v>512</v>
      </c>
      <c r="D101" s="156" t="s">
        <v>516</v>
      </c>
      <c r="E101" s="31" t="s">
        <v>364</v>
      </c>
      <c r="F101" s="23" t="s">
        <v>49</v>
      </c>
      <c r="G101" s="374"/>
      <c r="H101" s="133"/>
      <c r="I101" s="156"/>
      <c r="J101" s="133"/>
      <c r="K101" s="330"/>
      <c r="L101" s="330"/>
      <c r="M101" s="24"/>
      <c r="N101" s="330"/>
      <c r="O101" s="368"/>
      <c r="P101" s="368"/>
      <c r="Q101" s="368"/>
      <c r="R101" s="368"/>
      <c r="S101" s="368"/>
      <c r="T101" s="368"/>
      <c r="U101" s="368"/>
      <c r="V101" s="368"/>
      <c r="W101" s="368"/>
      <c r="X101" s="368"/>
      <c r="Y101" s="368"/>
      <c r="Z101" s="368"/>
      <c r="AA101" s="368"/>
      <c r="AB101" s="368"/>
      <c r="AC101" s="368"/>
      <c r="AD101" s="368"/>
      <c r="AE101" s="368"/>
      <c r="AF101" s="368"/>
      <c r="AG101" s="368"/>
      <c r="AH101" s="368"/>
      <c r="AI101" s="368"/>
      <c r="AJ101" s="368"/>
      <c r="AK101" s="368"/>
      <c r="AL101" s="368"/>
      <c r="AM101" s="368"/>
    </row>
    <row r="102" spans="1:39" s="90" customFormat="1" ht="18" customHeight="1" x14ac:dyDescent="0.3">
      <c r="A102" s="432"/>
      <c r="B102" s="423"/>
      <c r="C102" s="12"/>
      <c r="D102" s="156"/>
      <c r="E102" s="31" t="s">
        <v>48</v>
      </c>
      <c r="F102" s="23" t="s">
        <v>49</v>
      </c>
      <c r="G102" s="374" t="s">
        <v>521</v>
      </c>
      <c r="H102" s="133">
        <v>72</v>
      </c>
      <c r="I102" s="156"/>
      <c r="J102" s="133"/>
      <c r="K102" s="330" t="s">
        <v>218</v>
      </c>
      <c r="L102" s="330" t="s">
        <v>218</v>
      </c>
      <c r="M102" s="24">
        <v>10209</v>
      </c>
      <c r="N102" s="330">
        <v>10042</v>
      </c>
      <c r="O102" s="368">
        <v>1254</v>
      </c>
      <c r="P102" s="368" t="s">
        <v>515</v>
      </c>
      <c r="Q102" s="368">
        <v>1219</v>
      </c>
      <c r="R102" s="368" t="s">
        <v>515</v>
      </c>
      <c r="S102" s="368">
        <v>688</v>
      </c>
      <c r="T102" s="368" t="s">
        <v>515</v>
      </c>
      <c r="U102" s="368">
        <v>993</v>
      </c>
      <c r="V102" s="368" t="s">
        <v>515</v>
      </c>
      <c r="W102" s="368">
        <v>600</v>
      </c>
      <c r="X102" s="368" t="s">
        <v>515</v>
      </c>
      <c r="Y102" s="368">
        <v>456</v>
      </c>
      <c r="Z102" s="368" t="s">
        <v>515</v>
      </c>
      <c r="AA102" s="368">
        <v>349</v>
      </c>
      <c r="AB102" s="368" t="s">
        <v>515</v>
      </c>
      <c r="AC102" s="368">
        <v>411</v>
      </c>
      <c r="AD102" s="368" t="s">
        <v>515</v>
      </c>
      <c r="AE102" s="368">
        <v>536</v>
      </c>
      <c r="AF102" s="368" t="s">
        <v>515</v>
      </c>
      <c r="AG102" s="368">
        <v>625</v>
      </c>
      <c r="AH102" s="368" t="s">
        <v>515</v>
      </c>
      <c r="AI102" s="368">
        <v>707</v>
      </c>
      <c r="AJ102" s="368" t="s">
        <v>515</v>
      </c>
      <c r="AK102" s="368">
        <v>1046</v>
      </c>
      <c r="AL102" s="368" t="s">
        <v>515</v>
      </c>
      <c r="AM102" s="368">
        <f>SUM(O102:AK102)</f>
        <v>8884</v>
      </c>
    </row>
    <row r="103" spans="1:39" s="90" customFormat="1" ht="18" customHeight="1" x14ac:dyDescent="0.3">
      <c r="A103" s="431">
        <v>47</v>
      </c>
      <c r="B103" s="422" t="s">
        <v>625</v>
      </c>
      <c r="C103" s="11" t="s">
        <v>512</v>
      </c>
      <c r="D103" s="156" t="s">
        <v>516</v>
      </c>
      <c r="E103" s="31" t="s">
        <v>364</v>
      </c>
      <c r="F103" s="23" t="s">
        <v>49</v>
      </c>
      <c r="G103" s="374"/>
      <c r="H103" s="133"/>
      <c r="I103" s="156"/>
      <c r="J103" s="133"/>
      <c r="K103" s="330"/>
      <c r="L103" s="330"/>
      <c r="M103" s="24"/>
      <c r="N103" s="330"/>
      <c r="O103" s="368"/>
      <c r="P103" s="368"/>
      <c r="Q103" s="368"/>
      <c r="R103" s="368"/>
      <c r="S103" s="368"/>
      <c r="T103" s="368"/>
      <c r="U103" s="368"/>
      <c r="V103" s="368"/>
      <c r="W103" s="368"/>
      <c r="X103" s="368"/>
      <c r="Y103" s="368"/>
      <c r="Z103" s="368"/>
      <c r="AA103" s="368"/>
      <c r="AB103" s="368"/>
      <c r="AC103" s="368"/>
      <c r="AD103" s="368"/>
      <c r="AE103" s="368"/>
      <c r="AF103" s="368"/>
      <c r="AG103" s="368"/>
      <c r="AH103" s="368"/>
      <c r="AI103" s="368"/>
      <c r="AJ103" s="368"/>
      <c r="AK103" s="368"/>
      <c r="AL103" s="368"/>
      <c r="AM103" s="368"/>
    </row>
    <row r="104" spans="1:39" s="90" customFormat="1" ht="18" customHeight="1" x14ac:dyDescent="0.3">
      <c r="A104" s="432"/>
      <c r="B104" s="423"/>
      <c r="C104" s="12"/>
      <c r="D104" s="156"/>
      <c r="E104" s="31" t="s">
        <v>48</v>
      </c>
      <c r="F104" s="23" t="s">
        <v>49</v>
      </c>
      <c r="G104" s="374" t="s">
        <v>519</v>
      </c>
      <c r="H104" s="133">
        <v>90</v>
      </c>
      <c r="I104" s="156"/>
      <c r="J104" s="133"/>
      <c r="K104" s="330" t="s">
        <v>218</v>
      </c>
      <c r="L104" s="330" t="s">
        <v>218</v>
      </c>
      <c r="M104" s="24">
        <v>1161</v>
      </c>
      <c r="N104" s="330">
        <v>2018</v>
      </c>
      <c r="O104" s="368">
        <v>230</v>
      </c>
      <c r="P104" s="368" t="s">
        <v>515</v>
      </c>
      <c r="Q104" s="368">
        <v>163</v>
      </c>
      <c r="R104" s="368" t="s">
        <v>515</v>
      </c>
      <c r="S104" s="368">
        <v>201</v>
      </c>
      <c r="T104" s="368" t="s">
        <v>515</v>
      </c>
      <c r="U104" s="368">
        <v>200</v>
      </c>
      <c r="V104" s="368" t="s">
        <v>515</v>
      </c>
      <c r="W104" s="368">
        <v>233</v>
      </c>
      <c r="X104" s="368" t="s">
        <v>515</v>
      </c>
      <c r="Y104" s="368">
        <v>210</v>
      </c>
      <c r="Z104" s="368" t="s">
        <v>515</v>
      </c>
      <c r="AA104" s="368">
        <v>163</v>
      </c>
      <c r="AB104" s="368" t="s">
        <v>515</v>
      </c>
      <c r="AC104" s="368">
        <v>177</v>
      </c>
      <c r="AD104" s="368" t="s">
        <v>515</v>
      </c>
      <c r="AE104" s="368">
        <v>171</v>
      </c>
      <c r="AF104" s="368" t="s">
        <v>515</v>
      </c>
      <c r="AG104" s="368">
        <v>198</v>
      </c>
      <c r="AH104" s="368" t="s">
        <v>515</v>
      </c>
      <c r="AI104" s="368">
        <v>233</v>
      </c>
      <c r="AJ104" s="368" t="s">
        <v>515</v>
      </c>
      <c r="AK104" s="368">
        <v>240</v>
      </c>
      <c r="AL104" s="368" t="s">
        <v>515</v>
      </c>
      <c r="AM104" s="368">
        <f t="shared" ref="AM104:AM120" si="2">SUM(O104:AK104)</f>
        <v>2419</v>
      </c>
    </row>
    <row r="105" spans="1:39" s="90" customFormat="1" ht="18" customHeight="1" x14ac:dyDescent="0.3">
      <c r="A105" s="431">
        <v>48</v>
      </c>
      <c r="B105" s="422" t="s">
        <v>626</v>
      </c>
      <c r="C105" s="11" t="s">
        <v>512</v>
      </c>
      <c r="D105" s="156" t="s">
        <v>516</v>
      </c>
      <c r="E105" s="31" t="s">
        <v>364</v>
      </c>
      <c r="F105" s="23" t="s">
        <v>49</v>
      </c>
      <c r="G105" s="374"/>
      <c r="H105" s="133"/>
      <c r="I105" s="156"/>
      <c r="J105" s="133"/>
      <c r="K105" s="330" t="s">
        <v>218</v>
      </c>
      <c r="L105" s="330" t="s">
        <v>218</v>
      </c>
      <c r="M105" s="24">
        <v>0</v>
      </c>
      <c r="N105" s="330">
        <v>0</v>
      </c>
      <c r="O105" s="368">
        <v>224</v>
      </c>
      <c r="P105" s="368" t="s">
        <v>515</v>
      </c>
      <c r="Q105" s="368">
        <v>237</v>
      </c>
      <c r="R105" s="368" t="s">
        <v>515</v>
      </c>
      <c r="S105" s="368">
        <v>219</v>
      </c>
      <c r="T105" s="368" t="s">
        <v>515</v>
      </c>
      <c r="U105" s="368">
        <v>208</v>
      </c>
      <c r="V105" s="368" t="s">
        <v>515</v>
      </c>
      <c r="W105" s="368">
        <v>206</v>
      </c>
      <c r="X105" s="368" t="s">
        <v>515</v>
      </c>
      <c r="Y105" s="368">
        <v>226</v>
      </c>
      <c r="Z105" s="368" t="s">
        <v>515</v>
      </c>
      <c r="AA105" s="368">
        <v>188</v>
      </c>
      <c r="AB105" s="368" t="s">
        <v>515</v>
      </c>
      <c r="AC105" s="368">
        <v>170</v>
      </c>
      <c r="AD105" s="368" t="s">
        <v>515</v>
      </c>
      <c r="AE105" s="368">
        <v>241</v>
      </c>
      <c r="AF105" s="368" t="s">
        <v>515</v>
      </c>
      <c r="AG105" s="368">
        <v>233</v>
      </c>
      <c r="AH105" s="368" t="s">
        <v>515</v>
      </c>
      <c r="AI105" s="368">
        <v>192</v>
      </c>
      <c r="AJ105" s="368" t="s">
        <v>515</v>
      </c>
      <c r="AK105" s="368">
        <v>197</v>
      </c>
      <c r="AL105" s="368" t="s">
        <v>515</v>
      </c>
      <c r="AM105" s="368">
        <f t="shared" si="2"/>
        <v>2541</v>
      </c>
    </row>
    <row r="106" spans="1:39" s="90" customFormat="1" ht="18" customHeight="1" x14ac:dyDescent="0.3">
      <c r="A106" s="432"/>
      <c r="B106" s="423"/>
      <c r="C106" s="12"/>
      <c r="D106" s="156"/>
      <c r="E106" s="31" t="s">
        <v>48</v>
      </c>
      <c r="F106" s="23" t="s">
        <v>49</v>
      </c>
      <c r="G106" s="374" t="s">
        <v>522</v>
      </c>
      <c r="H106" s="133">
        <v>28</v>
      </c>
      <c r="I106" s="156"/>
      <c r="J106" s="133"/>
      <c r="K106" s="330" t="s">
        <v>218</v>
      </c>
      <c r="L106" s="330" t="s">
        <v>218</v>
      </c>
      <c r="M106" s="24">
        <v>0</v>
      </c>
      <c r="N106" s="330">
        <v>0</v>
      </c>
      <c r="O106" s="368">
        <v>563</v>
      </c>
      <c r="P106" s="368" t="s">
        <v>515</v>
      </c>
      <c r="Q106" s="368">
        <v>594</v>
      </c>
      <c r="R106" s="368" t="s">
        <v>515</v>
      </c>
      <c r="S106" s="368">
        <v>529</v>
      </c>
      <c r="T106" s="368" t="s">
        <v>515</v>
      </c>
      <c r="U106" s="368">
        <v>567</v>
      </c>
      <c r="V106" s="368" t="s">
        <v>515</v>
      </c>
      <c r="W106" s="368">
        <v>518</v>
      </c>
      <c r="X106" s="368" t="s">
        <v>515</v>
      </c>
      <c r="Y106" s="368">
        <v>580</v>
      </c>
      <c r="Z106" s="368" t="s">
        <v>515</v>
      </c>
      <c r="AA106" s="368">
        <v>576</v>
      </c>
      <c r="AB106" s="368" t="s">
        <v>515</v>
      </c>
      <c r="AC106" s="368">
        <v>513</v>
      </c>
      <c r="AD106" s="368" t="s">
        <v>515</v>
      </c>
      <c r="AE106" s="368">
        <v>655</v>
      </c>
      <c r="AF106" s="368" t="s">
        <v>515</v>
      </c>
      <c r="AG106" s="368">
        <v>618</v>
      </c>
      <c r="AH106" s="368" t="s">
        <v>515</v>
      </c>
      <c r="AI106" s="368">
        <v>522</v>
      </c>
      <c r="AJ106" s="368" t="s">
        <v>515</v>
      </c>
      <c r="AK106" s="368">
        <v>552</v>
      </c>
      <c r="AL106" s="368" t="s">
        <v>515</v>
      </c>
      <c r="AM106" s="368">
        <f t="shared" si="2"/>
        <v>6787</v>
      </c>
    </row>
    <row r="107" spans="1:39" s="90" customFormat="1" ht="18" customHeight="1" x14ac:dyDescent="0.3">
      <c r="A107" s="431">
        <v>49</v>
      </c>
      <c r="B107" s="422" t="s">
        <v>627</v>
      </c>
      <c r="C107" s="11" t="s">
        <v>512</v>
      </c>
      <c r="D107" s="156" t="s">
        <v>516</v>
      </c>
      <c r="E107" s="31" t="s">
        <v>364</v>
      </c>
      <c r="F107" s="23" t="s">
        <v>49</v>
      </c>
      <c r="G107" s="374"/>
      <c r="H107" s="133"/>
      <c r="I107" s="156"/>
      <c r="J107" s="133"/>
      <c r="K107" s="330" t="s">
        <v>218</v>
      </c>
      <c r="L107" s="330" t="s">
        <v>218</v>
      </c>
      <c r="M107" s="24">
        <v>44654</v>
      </c>
      <c r="N107" s="330">
        <v>34124</v>
      </c>
      <c r="O107" s="368">
        <v>2618</v>
      </c>
      <c r="P107" s="368" t="s">
        <v>515</v>
      </c>
      <c r="Q107" s="368">
        <v>1854</v>
      </c>
      <c r="R107" s="368" t="s">
        <v>515</v>
      </c>
      <c r="S107" s="368">
        <v>929</v>
      </c>
      <c r="T107" s="368" t="s">
        <v>515</v>
      </c>
      <c r="U107" s="368">
        <v>1597</v>
      </c>
      <c r="V107" s="368" t="s">
        <v>515</v>
      </c>
      <c r="W107" s="368">
        <v>3253</v>
      </c>
      <c r="X107" s="368" t="s">
        <v>515</v>
      </c>
      <c r="Y107" s="368">
        <v>1993</v>
      </c>
      <c r="Z107" s="368" t="s">
        <v>515</v>
      </c>
      <c r="AA107" s="368">
        <v>2127</v>
      </c>
      <c r="AB107" s="368" t="s">
        <v>515</v>
      </c>
      <c r="AC107" s="368">
        <v>1807</v>
      </c>
      <c r="AD107" s="368" t="s">
        <v>515</v>
      </c>
      <c r="AE107" s="368">
        <v>2263</v>
      </c>
      <c r="AF107" s="368" t="s">
        <v>515</v>
      </c>
      <c r="AG107" s="368">
        <v>2239</v>
      </c>
      <c r="AH107" s="368" t="s">
        <v>515</v>
      </c>
      <c r="AI107" s="368">
        <v>1927</v>
      </c>
      <c r="AJ107" s="368" t="s">
        <v>515</v>
      </c>
      <c r="AK107" s="368">
        <v>2165</v>
      </c>
      <c r="AL107" s="368" t="s">
        <v>515</v>
      </c>
      <c r="AM107" s="368">
        <f t="shared" si="2"/>
        <v>24772</v>
      </c>
    </row>
    <row r="108" spans="1:39" s="90" customFormat="1" ht="18" customHeight="1" x14ac:dyDescent="0.3">
      <c r="A108" s="432"/>
      <c r="B108" s="423"/>
      <c r="C108" s="12"/>
      <c r="D108" s="156"/>
      <c r="E108" s="31" t="s">
        <v>48</v>
      </c>
      <c r="F108" s="23" t="s">
        <v>49</v>
      </c>
      <c r="G108" s="374" t="s">
        <v>523</v>
      </c>
      <c r="H108" s="133">
        <v>264</v>
      </c>
      <c r="I108" s="156" t="s">
        <v>524</v>
      </c>
      <c r="J108" s="133">
        <v>15</v>
      </c>
      <c r="K108" s="330" t="s">
        <v>218</v>
      </c>
      <c r="L108" s="330" t="s">
        <v>218</v>
      </c>
      <c r="M108" s="24">
        <v>17462</v>
      </c>
      <c r="N108" s="330">
        <v>25558</v>
      </c>
      <c r="O108" s="368">
        <v>2215</v>
      </c>
      <c r="P108" s="368" t="s">
        <v>515</v>
      </c>
      <c r="Q108" s="368">
        <v>2769</v>
      </c>
      <c r="R108" s="368" t="s">
        <v>515</v>
      </c>
      <c r="S108" s="368">
        <v>3116</v>
      </c>
      <c r="T108" s="368" t="s">
        <v>515</v>
      </c>
      <c r="U108" s="368">
        <v>1724</v>
      </c>
      <c r="V108" s="368" t="s">
        <v>515</v>
      </c>
      <c r="W108" s="368">
        <v>1336</v>
      </c>
      <c r="X108" s="368" t="s">
        <v>515</v>
      </c>
      <c r="Y108" s="368">
        <v>1307</v>
      </c>
      <c r="Z108" s="368" t="s">
        <v>515</v>
      </c>
      <c r="AA108" s="368">
        <v>1012</v>
      </c>
      <c r="AB108" s="368" t="s">
        <v>515</v>
      </c>
      <c r="AC108" s="368">
        <v>1163</v>
      </c>
      <c r="AD108" s="368" t="s">
        <v>515</v>
      </c>
      <c r="AE108" s="368">
        <v>1593</v>
      </c>
      <c r="AF108" s="368" t="s">
        <v>515</v>
      </c>
      <c r="AG108" s="368">
        <v>1791</v>
      </c>
      <c r="AH108" s="368" t="s">
        <v>515</v>
      </c>
      <c r="AI108" s="368">
        <v>1831</v>
      </c>
      <c r="AJ108" s="368" t="s">
        <v>515</v>
      </c>
      <c r="AK108" s="368">
        <v>2091</v>
      </c>
      <c r="AL108" s="368" t="s">
        <v>515</v>
      </c>
      <c r="AM108" s="368">
        <f t="shared" si="2"/>
        <v>21948</v>
      </c>
    </row>
    <row r="109" spans="1:39" s="90" customFormat="1" ht="18" customHeight="1" x14ac:dyDescent="0.3">
      <c r="A109" s="431">
        <v>50</v>
      </c>
      <c r="B109" s="422" t="s">
        <v>628</v>
      </c>
      <c r="C109" s="11" t="s">
        <v>512</v>
      </c>
      <c r="D109" s="156" t="s">
        <v>516</v>
      </c>
      <c r="E109" s="31" t="s">
        <v>364</v>
      </c>
      <c r="F109" s="23" t="s">
        <v>49</v>
      </c>
      <c r="G109" s="374"/>
      <c r="H109" s="133"/>
      <c r="I109" s="156"/>
      <c r="J109" s="133"/>
      <c r="K109" s="330" t="s">
        <v>218</v>
      </c>
      <c r="L109" s="330" t="s">
        <v>218</v>
      </c>
      <c r="M109" s="24">
        <v>35800</v>
      </c>
      <c r="N109" s="330">
        <v>37800</v>
      </c>
      <c r="O109" s="368">
        <v>3120</v>
      </c>
      <c r="P109" s="368" t="s">
        <v>515</v>
      </c>
      <c r="Q109" s="368">
        <v>3020</v>
      </c>
      <c r="R109" s="368" t="s">
        <v>515</v>
      </c>
      <c r="S109" s="368">
        <v>3200</v>
      </c>
      <c r="T109" s="368" t="s">
        <v>515</v>
      </c>
      <c r="U109" s="368">
        <v>3620</v>
      </c>
      <c r="V109" s="368" t="s">
        <v>515</v>
      </c>
      <c r="W109" s="368">
        <v>3080</v>
      </c>
      <c r="X109" s="368" t="s">
        <v>515</v>
      </c>
      <c r="Y109" s="368">
        <v>1800</v>
      </c>
      <c r="Z109" s="368" t="s">
        <v>515</v>
      </c>
      <c r="AA109" s="368">
        <v>1700</v>
      </c>
      <c r="AB109" s="368" t="s">
        <v>515</v>
      </c>
      <c r="AC109" s="368">
        <v>1480</v>
      </c>
      <c r="AD109" s="368" t="s">
        <v>515</v>
      </c>
      <c r="AE109" s="368">
        <v>1840</v>
      </c>
      <c r="AF109" s="368" t="s">
        <v>515</v>
      </c>
      <c r="AG109" s="368">
        <v>1780</v>
      </c>
      <c r="AH109" s="368" t="s">
        <v>515</v>
      </c>
      <c r="AI109" s="368">
        <v>1480</v>
      </c>
      <c r="AJ109" s="368" t="s">
        <v>515</v>
      </c>
      <c r="AK109" s="368">
        <v>1620</v>
      </c>
      <c r="AL109" s="368" t="s">
        <v>515</v>
      </c>
      <c r="AM109" s="368">
        <f t="shared" si="2"/>
        <v>27740</v>
      </c>
    </row>
    <row r="110" spans="1:39" s="90" customFormat="1" ht="18" customHeight="1" x14ac:dyDescent="0.3">
      <c r="A110" s="432"/>
      <c r="B110" s="423"/>
      <c r="C110" s="12"/>
      <c r="D110" s="156"/>
      <c r="E110" s="31" t="s">
        <v>48</v>
      </c>
      <c r="F110" s="23" t="s">
        <v>49</v>
      </c>
      <c r="G110" s="374" t="s">
        <v>514</v>
      </c>
      <c r="H110" s="133">
        <v>319</v>
      </c>
      <c r="I110" s="156" t="s">
        <v>525</v>
      </c>
      <c r="J110" s="133">
        <v>10</v>
      </c>
      <c r="K110" s="330" t="s">
        <v>218</v>
      </c>
      <c r="L110" s="330" t="s">
        <v>218</v>
      </c>
      <c r="M110" s="24">
        <v>86325</v>
      </c>
      <c r="N110" s="330">
        <v>74370</v>
      </c>
      <c r="O110" s="368">
        <v>7860</v>
      </c>
      <c r="P110" s="368" t="s">
        <v>515</v>
      </c>
      <c r="Q110" s="368">
        <v>6945</v>
      </c>
      <c r="R110" s="368" t="s">
        <v>515</v>
      </c>
      <c r="S110" s="368">
        <v>6750</v>
      </c>
      <c r="T110" s="368" t="s">
        <v>515</v>
      </c>
      <c r="U110" s="368">
        <v>7035</v>
      </c>
      <c r="V110" s="368" t="s">
        <v>515</v>
      </c>
      <c r="W110" s="368">
        <v>5385</v>
      </c>
      <c r="X110" s="368" t="s">
        <v>515</v>
      </c>
      <c r="Y110" s="368">
        <v>2985</v>
      </c>
      <c r="Z110" s="368" t="s">
        <v>515</v>
      </c>
      <c r="AA110" s="368">
        <v>3285</v>
      </c>
      <c r="AB110" s="368" t="s">
        <v>515</v>
      </c>
      <c r="AC110" s="368">
        <v>4230</v>
      </c>
      <c r="AD110" s="368" t="s">
        <v>515</v>
      </c>
      <c r="AE110" s="368">
        <v>4890</v>
      </c>
      <c r="AF110" s="368" t="s">
        <v>515</v>
      </c>
      <c r="AG110" s="368">
        <v>5595</v>
      </c>
      <c r="AH110" s="368" t="s">
        <v>515</v>
      </c>
      <c r="AI110" s="368">
        <v>4905</v>
      </c>
      <c r="AJ110" s="368" t="s">
        <v>515</v>
      </c>
      <c r="AK110" s="368">
        <v>4995</v>
      </c>
      <c r="AL110" s="368" t="s">
        <v>515</v>
      </c>
      <c r="AM110" s="368">
        <f t="shared" si="2"/>
        <v>64860</v>
      </c>
    </row>
    <row r="111" spans="1:39" s="90" customFormat="1" ht="18" customHeight="1" x14ac:dyDescent="0.3">
      <c r="A111" s="431">
        <v>51</v>
      </c>
      <c r="B111" s="422" t="s">
        <v>629</v>
      </c>
      <c r="C111" s="11" t="s">
        <v>512</v>
      </c>
      <c r="D111" s="156" t="s">
        <v>516</v>
      </c>
      <c r="E111" s="31" t="s">
        <v>364</v>
      </c>
      <c r="F111" s="23" t="s">
        <v>49</v>
      </c>
      <c r="G111" s="374"/>
      <c r="H111" s="133"/>
      <c r="I111" s="156"/>
      <c r="J111" s="133"/>
      <c r="K111" s="330" t="s">
        <v>218</v>
      </c>
      <c r="L111" s="330" t="s">
        <v>218</v>
      </c>
      <c r="M111" s="24">
        <v>34738</v>
      </c>
      <c r="N111" s="330">
        <v>34229</v>
      </c>
      <c r="O111" s="368">
        <v>2308</v>
      </c>
      <c r="P111" s="368" t="s">
        <v>515</v>
      </c>
      <c r="Q111" s="368">
        <v>2233</v>
      </c>
      <c r="R111" s="368" t="s">
        <v>515</v>
      </c>
      <c r="S111" s="368">
        <v>2323</v>
      </c>
      <c r="T111" s="368" t="s">
        <v>515</v>
      </c>
      <c r="U111" s="368">
        <v>2465</v>
      </c>
      <c r="V111" s="368" t="s">
        <v>515</v>
      </c>
      <c r="W111" s="368">
        <v>2176</v>
      </c>
      <c r="X111" s="368" t="s">
        <v>515</v>
      </c>
      <c r="Y111" s="368">
        <v>2099</v>
      </c>
      <c r="Z111" s="368" t="s">
        <v>515</v>
      </c>
      <c r="AA111" s="368">
        <v>2293</v>
      </c>
      <c r="AB111" s="368" t="s">
        <v>515</v>
      </c>
      <c r="AC111" s="368">
        <v>1974</v>
      </c>
      <c r="AD111" s="368" t="s">
        <v>515</v>
      </c>
      <c r="AE111" s="368">
        <v>2316</v>
      </c>
      <c r="AF111" s="368" t="s">
        <v>515</v>
      </c>
      <c r="AG111" s="368">
        <v>841</v>
      </c>
      <c r="AH111" s="368" t="s">
        <v>515</v>
      </c>
      <c r="AI111" s="368">
        <v>1017</v>
      </c>
      <c r="AJ111" s="368" t="s">
        <v>515</v>
      </c>
      <c r="AK111" s="368">
        <v>1495</v>
      </c>
      <c r="AL111" s="368" t="s">
        <v>515</v>
      </c>
      <c r="AM111" s="368">
        <f t="shared" si="2"/>
        <v>23540</v>
      </c>
    </row>
    <row r="112" spans="1:39" s="90" customFormat="1" ht="18" customHeight="1" x14ac:dyDescent="0.3">
      <c r="A112" s="432"/>
      <c r="B112" s="423"/>
      <c r="C112" s="12"/>
      <c r="D112" s="156"/>
      <c r="E112" s="31" t="s">
        <v>48</v>
      </c>
      <c r="F112" s="23" t="s">
        <v>49</v>
      </c>
      <c r="G112" s="374" t="s">
        <v>519</v>
      </c>
      <c r="H112" s="133">
        <v>333</v>
      </c>
      <c r="I112" s="156" t="s">
        <v>526</v>
      </c>
      <c r="J112" s="133">
        <v>12</v>
      </c>
      <c r="K112" s="330" t="s">
        <v>218</v>
      </c>
      <c r="L112" s="330" t="s">
        <v>218</v>
      </c>
      <c r="M112" s="24">
        <v>16665</v>
      </c>
      <c r="N112" s="330">
        <v>14163</v>
      </c>
      <c r="O112" s="368">
        <v>1527</v>
      </c>
      <c r="P112" s="368" t="s">
        <v>515</v>
      </c>
      <c r="Q112" s="368">
        <v>1365</v>
      </c>
      <c r="R112" s="368" t="s">
        <v>515</v>
      </c>
      <c r="S112" s="368">
        <v>1242</v>
      </c>
      <c r="T112" s="368" t="s">
        <v>515</v>
      </c>
      <c r="U112" s="368">
        <v>1603</v>
      </c>
      <c r="V112" s="368" t="s">
        <v>515</v>
      </c>
      <c r="W112" s="368">
        <v>1148</v>
      </c>
      <c r="X112" s="368" t="s">
        <v>515</v>
      </c>
      <c r="Y112" s="368">
        <v>965</v>
      </c>
      <c r="Z112" s="368" t="s">
        <v>515</v>
      </c>
      <c r="AA112" s="368">
        <v>793</v>
      </c>
      <c r="AB112" s="368" t="s">
        <v>515</v>
      </c>
      <c r="AC112" s="368">
        <v>856</v>
      </c>
      <c r="AD112" s="368" t="s">
        <v>515</v>
      </c>
      <c r="AE112" s="368">
        <v>1220</v>
      </c>
      <c r="AF112" s="368" t="s">
        <v>515</v>
      </c>
      <c r="AG112" s="368">
        <v>2255</v>
      </c>
      <c r="AH112" s="368" t="s">
        <v>515</v>
      </c>
      <c r="AI112" s="368">
        <v>2391</v>
      </c>
      <c r="AJ112" s="368" t="s">
        <v>515</v>
      </c>
      <c r="AK112" s="368">
        <v>1665</v>
      </c>
      <c r="AL112" s="368" t="s">
        <v>515</v>
      </c>
      <c r="AM112" s="368">
        <f t="shared" si="2"/>
        <v>17030</v>
      </c>
    </row>
    <row r="113" spans="1:40" s="90" customFormat="1" ht="18" customHeight="1" x14ac:dyDescent="0.3">
      <c r="A113" s="431">
        <v>52</v>
      </c>
      <c r="B113" s="422" t="s">
        <v>630</v>
      </c>
      <c r="C113" s="11" t="s">
        <v>512</v>
      </c>
      <c r="D113" s="156" t="s">
        <v>516</v>
      </c>
      <c r="E113" s="31" t="s">
        <v>364</v>
      </c>
      <c r="F113" s="23" t="s">
        <v>49</v>
      </c>
      <c r="G113" s="374"/>
      <c r="H113" s="133"/>
      <c r="I113" s="156"/>
      <c r="J113" s="133"/>
      <c r="K113" s="330" t="s">
        <v>218</v>
      </c>
      <c r="L113" s="330" t="s">
        <v>218</v>
      </c>
      <c r="M113" s="24">
        <v>60680</v>
      </c>
      <c r="N113" s="330">
        <v>63600</v>
      </c>
      <c r="O113" s="368">
        <v>7900</v>
      </c>
      <c r="P113" s="368" t="s">
        <v>515</v>
      </c>
      <c r="Q113" s="368">
        <v>6300</v>
      </c>
      <c r="R113" s="368" t="s">
        <v>515</v>
      </c>
      <c r="S113" s="368">
        <v>7100</v>
      </c>
      <c r="T113" s="368" t="s">
        <v>515</v>
      </c>
      <c r="U113" s="368">
        <v>5200</v>
      </c>
      <c r="V113" s="368" t="s">
        <v>515</v>
      </c>
      <c r="W113" s="368">
        <v>4000</v>
      </c>
      <c r="X113" s="368" t="s">
        <v>515</v>
      </c>
      <c r="Y113" s="368">
        <v>4080</v>
      </c>
      <c r="Z113" s="368" t="s">
        <v>515</v>
      </c>
      <c r="AA113" s="368">
        <v>3250</v>
      </c>
      <c r="AB113" s="368" t="s">
        <v>515</v>
      </c>
      <c r="AC113" s="368">
        <v>2860</v>
      </c>
      <c r="AD113" s="368" t="s">
        <v>515</v>
      </c>
      <c r="AE113" s="368">
        <v>4140</v>
      </c>
      <c r="AF113" s="368" t="s">
        <v>515</v>
      </c>
      <c r="AG113" s="368">
        <v>4900</v>
      </c>
      <c r="AH113" s="368" t="s">
        <v>515</v>
      </c>
      <c r="AI113" s="368">
        <v>4900</v>
      </c>
      <c r="AJ113" s="368" t="s">
        <v>515</v>
      </c>
      <c r="AK113" s="368">
        <v>5520</v>
      </c>
      <c r="AL113" s="368" t="s">
        <v>515</v>
      </c>
      <c r="AM113" s="368">
        <f t="shared" si="2"/>
        <v>60150</v>
      </c>
      <c r="AN113" s="10"/>
    </row>
    <row r="114" spans="1:40" s="90" customFormat="1" ht="18" customHeight="1" x14ac:dyDescent="0.3">
      <c r="A114" s="432"/>
      <c r="B114" s="423"/>
      <c r="C114" s="12"/>
      <c r="D114" s="156"/>
      <c r="E114" s="31" t="s">
        <v>48</v>
      </c>
      <c r="F114" s="23" t="s">
        <v>49</v>
      </c>
      <c r="G114" s="374" t="s">
        <v>527</v>
      </c>
      <c r="H114" s="133">
        <v>421</v>
      </c>
      <c r="I114" s="156" t="s">
        <v>525</v>
      </c>
      <c r="J114" s="133">
        <v>7</v>
      </c>
      <c r="K114" s="330" t="s">
        <v>218</v>
      </c>
      <c r="L114" s="330" t="s">
        <v>218</v>
      </c>
      <c r="M114" s="24">
        <v>85190</v>
      </c>
      <c r="N114" s="330">
        <v>99000</v>
      </c>
      <c r="O114" s="368">
        <v>10650</v>
      </c>
      <c r="P114" s="368" t="s">
        <v>515</v>
      </c>
      <c r="Q114" s="368">
        <v>8400</v>
      </c>
      <c r="R114" s="368" t="s">
        <v>515</v>
      </c>
      <c r="S114" s="368">
        <v>9200</v>
      </c>
      <c r="T114" s="368" t="s">
        <v>515</v>
      </c>
      <c r="U114" s="368">
        <v>7900</v>
      </c>
      <c r="V114" s="368" t="s">
        <v>515</v>
      </c>
      <c r="W114" s="368">
        <v>6800</v>
      </c>
      <c r="X114" s="368" t="s">
        <v>515</v>
      </c>
      <c r="Y114" s="368">
        <v>7420</v>
      </c>
      <c r="Z114" s="368" t="s">
        <v>515</v>
      </c>
      <c r="AA114" s="368">
        <v>6330</v>
      </c>
      <c r="AB114" s="368" t="s">
        <v>515</v>
      </c>
      <c r="AC114" s="368">
        <v>5340</v>
      </c>
      <c r="AD114" s="368" t="s">
        <v>515</v>
      </c>
      <c r="AE114" s="368">
        <v>7110</v>
      </c>
      <c r="AF114" s="368" t="s">
        <v>515</v>
      </c>
      <c r="AG114" s="368">
        <v>7150</v>
      </c>
      <c r="AH114" s="368" t="s">
        <v>515</v>
      </c>
      <c r="AI114" s="368">
        <v>7550</v>
      </c>
      <c r="AJ114" s="368" t="s">
        <v>515</v>
      </c>
      <c r="AK114" s="368">
        <v>7280</v>
      </c>
      <c r="AL114" s="368" t="s">
        <v>515</v>
      </c>
      <c r="AM114" s="368">
        <f t="shared" si="2"/>
        <v>91130</v>
      </c>
      <c r="AN114" s="10"/>
    </row>
    <row r="115" spans="1:40" s="90" customFormat="1" ht="18" customHeight="1" x14ac:dyDescent="0.3">
      <c r="A115" s="431">
        <v>53</v>
      </c>
      <c r="B115" s="422" t="s">
        <v>631</v>
      </c>
      <c r="C115" s="11" t="s">
        <v>512</v>
      </c>
      <c r="D115" s="156" t="s">
        <v>528</v>
      </c>
      <c r="E115" s="31" t="s">
        <v>364</v>
      </c>
      <c r="F115" s="23" t="s">
        <v>49</v>
      </c>
      <c r="G115" s="374"/>
      <c r="H115" s="133"/>
      <c r="I115" s="156"/>
      <c r="J115" s="133"/>
      <c r="K115" s="330" t="s">
        <v>218</v>
      </c>
      <c r="L115" s="330" t="s">
        <v>218</v>
      </c>
      <c r="M115" s="24">
        <v>0</v>
      </c>
      <c r="N115" s="330">
        <v>51800</v>
      </c>
      <c r="O115" s="368">
        <v>4100</v>
      </c>
      <c r="P115" s="368" t="s">
        <v>515</v>
      </c>
      <c r="Q115" s="368">
        <v>3900</v>
      </c>
      <c r="R115" s="368" t="s">
        <v>515</v>
      </c>
      <c r="S115" s="368">
        <v>3900</v>
      </c>
      <c r="T115" s="368" t="s">
        <v>515</v>
      </c>
      <c r="U115" s="368">
        <v>5500</v>
      </c>
      <c r="V115" s="368" t="s">
        <v>515</v>
      </c>
      <c r="W115" s="368">
        <v>2400</v>
      </c>
      <c r="X115" s="368" t="s">
        <v>515</v>
      </c>
      <c r="Y115" s="368">
        <v>4300</v>
      </c>
      <c r="Z115" s="368" t="s">
        <v>515</v>
      </c>
      <c r="AA115" s="368">
        <v>3600</v>
      </c>
      <c r="AB115" s="368" t="s">
        <v>515</v>
      </c>
      <c r="AC115" s="368">
        <v>3040</v>
      </c>
      <c r="AD115" s="368" t="s">
        <v>515</v>
      </c>
      <c r="AE115" s="368">
        <v>4360</v>
      </c>
      <c r="AF115" s="368" t="s">
        <v>515</v>
      </c>
      <c r="AG115" s="368">
        <v>4000</v>
      </c>
      <c r="AH115" s="368" t="s">
        <v>515</v>
      </c>
      <c r="AI115" s="368">
        <v>4040</v>
      </c>
      <c r="AJ115" s="368" t="s">
        <v>515</v>
      </c>
      <c r="AK115" s="368">
        <v>3320</v>
      </c>
      <c r="AL115" s="368" t="s">
        <v>515</v>
      </c>
      <c r="AM115" s="368">
        <f t="shared" si="2"/>
        <v>46460</v>
      </c>
      <c r="AN115" s="10"/>
    </row>
    <row r="116" spans="1:40" s="90" customFormat="1" ht="18" customHeight="1" x14ac:dyDescent="0.3">
      <c r="A116" s="432"/>
      <c r="B116" s="423"/>
      <c r="C116" s="12"/>
      <c r="D116" s="156"/>
      <c r="E116" s="31" t="s">
        <v>48</v>
      </c>
      <c r="F116" s="23" t="s">
        <v>49</v>
      </c>
      <c r="G116" s="374" t="s">
        <v>529</v>
      </c>
      <c r="H116" s="133">
        <v>421</v>
      </c>
      <c r="I116" s="156" t="s">
        <v>525</v>
      </c>
      <c r="J116" s="133">
        <v>9</v>
      </c>
      <c r="K116" s="330" t="s">
        <v>218</v>
      </c>
      <c r="L116" s="330" t="s">
        <v>218</v>
      </c>
      <c r="M116" s="24">
        <v>0</v>
      </c>
      <c r="N116" s="330">
        <v>90750</v>
      </c>
      <c r="O116" s="368">
        <v>9700</v>
      </c>
      <c r="P116" s="368" t="s">
        <v>515</v>
      </c>
      <c r="Q116" s="368">
        <v>8750</v>
      </c>
      <c r="R116" s="368" t="s">
        <v>515</v>
      </c>
      <c r="S116" s="368">
        <v>8800</v>
      </c>
      <c r="T116" s="368" t="s">
        <v>515</v>
      </c>
      <c r="U116" s="368">
        <v>9600</v>
      </c>
      <c r="V116" s="368" t="s">
        <v>515</v>
      </c>
      <c r="W116" s="368">
        <v>7650</v>
      </c>
      <c r="X116" s="368" t="s">
        <v>515</v>
      </c>
      <c r="Y116" s="368">
        <v>8750</v>
      </c>
      <c r="Z116" s="368" t="s">
        <v>515</v>
      </c>
      <c r="AA116" s="368">
        <v>6800</v>
      </c>
      <c r="AB116" s="368" t="s">
        <v>515</v>
      </c>
      <c r="AC116" s="368">
        <v>6120</v>
      </c>
      <c r="AD116" s="368" t="s">
        <v>515</v>
      </c>
      <c r="AE116" s="368">
        <v>8780</v>
      </c>
      <c r="AF116" s="368" t="s">
        <v>515</v>
      </c>
      <c r="AG116" s="368">
        <v>7750</v>
      </c>
      <c r="AH116" s="368" t="s">
        <v>515</v>
      </c>
      <c r="AI116" s="368">
        <v>8300</v>
      </c>
      <c r="AJ116" s="368" t="s">
        <v>515</v>
      </c>
      <c r="AK116" s="368">
        <v>7950</v>
      </c>
      <c r="AL116" s="368" t="s">
        <v>515</v>
      </c>
      <c r="AM116" s="368">
        <f t="shared" si="2"/>
        <v>98950</v>
      </c>
      <c r="AN116" s="10"/>
    </row>
    <row r="117" spans="1:40" s="90" customFormat="1" ht="18" customHeight="1" x14ac:dyDescent="0.3">
      <c r="A117" s="431">
        <v>54</v>
      </c>
      <c r="B117" s="422" t="s">
        <v>632</v>
      </c>
      <c r="C117" s="11" t="s">
        <v>512</v>
      </c>
      <c r="D117" s="156" t="s">
        <v>516</v>
      </c>
      <c r="E117" s="31" t="s">
        <v>364</v>
      </c>
      <c r="F117" s="23" t="s">
        <v>49</v>
      </c>
      <c r="G117" s="374"/>
      <c r="H117" s="133"/>
      <c r="I117" s="156"/>
      <c r="J117" s="133"/>
      <c r="K117" s="330" t="s">
        <v>218</v>
      </c>
      <c r="L117" s="330" t="s">
        <v>218</v>
      </c>
      <c r="M117" s="24">
        <v>100400</v>
      </c>
      <c r="N117" s="330">
        <v>68600</v>
      </c>
      <c r="O117" s="368">
        <v>4100</v>
      </c>
      <c r="P117" s="368" t="s">
        <v>515</v>
      </c>
      <c r="Q117" s="368">
        <v>3800</v>
      </c>
      <c r="R117" s="368" t="s">
        <v>515</v>
      </c>
      <c r="S117" s="368">
        <v>4360</v>
      </c>
      <c r="T117" s="368" t="s">
        <v>515</v>
      </c>
      <c r="U117" s="368">
        <v>3840</v>
      </c>
      <c r="V117" s="368" t="s">
        <v>515</v>
      </c>
      <c r="W117" s="368">
        <v>3600</v>
      </c>
      <c r="X117" s="368" t="s">
        <v>515</v>
      </c>
      <c r="Y117" s="368">
        <v>4500</v>
      </c>
      <c r="Z117" s="368" t="s">
        <v>515</v>
      </c>
      <c r="AA117" s="368">
        <v>3500</v>
      </c>
      <c r="AB117" s="368" t="s">
        <v>515</v>
      </c>
      <c r="AC117" s="368">
        <v>3160</v>
      </c>
      <c r="AD117" s="368" t="s">
        <v>515</v>
      </c>
      <c r="AE117" s="368">
        <v>4440</v>
      </c>
      <c r="AF117" s="368" t="s">
        <v>515</v>
      </c>
      <c r="AG117" s="368">
        <v>3900</v>
      </c>
      <c r="AH117" s="368" t="s">
        <v>515</v>
      </c>
      <c r="AI117" s="368">
        <v>3900</v>
      </c>
      <c r="AJ117" s="368" t="s">
        <v>515</v>
      </c>
      <c r="AK117" s="368">
        <v>3740</v>
      </c>
      <c r="AL117" s="368" t="s">
        <v>515</v>
      </c>
      <c r="AM117" s="368">
        <f t="shared" si="2"/>
        <v>46840</v>
      </c>
      <c r="AN117" s="10"/>
    </row>
    <row r="118" spans="1:40" s="90" customFormat="1" ht="18" customHeight="1" x14ac:dyDescent="0.3">
      <c r="A118" s="432"/>
      <c r="B118" s="423"/>
      <c r="C118" s="12"/>
      <c r="D118" s="156"/>
      <c r="E118" s="31" t="s">
        <v>48</v>
      </c>
      <c r="F118" s="23" t="s">
        <v>49</v>
      </c>
      <c r="G118" s="374" t="s">
        <v>530</v>
      </c>
      <c r="H118" s="133">
        <v>492</v>
      </c>
      <c r="I118" s="156" t="s">
        <v>525</v>
      </c>
      <c r="J118" s="133">
        <v>8</v>
      </c>
      <c r="K118" s="330" t="s">
        <v>218</v>
      </c>
      <c r="L118" s="330" t="s">
        <v>218</v>
      </c>
      <c r="M118" s="24">
        <v>52050</v>
      </c>
      <c r="N118" s="330">
        <v>92000</v>
      </c>
      <c r="O118" s="368">
        <v>10000</v>
      </c>
      <c r="P118" s="368" t="s">
        <v>515</v>
      </c>
      <c r="Q118" s="368">
        <v>8650</v>
      </c>
      <c r="R118" s="368" t="s">
        <v>515</v>
      </c>
      <c r="S118" s="368">
        <v>9690</v>
      </c>
      <c r="T118" s="368" t="s">
        <v>515</v>
      </c>
      <c r="U118" s="368">
        <v>7910</v>
      </c>
      <c r="V118" s="368" t="s">
        <v>515</v>
      </c>
      <c r="W118" s="368">
        <v>6150</v>
      </c>
      <c r="X118" s="368" t="s">
        <v>515</v>
      </c>
      <c r="Y118" s="368">
        <v>7500</v>
      </c>
      <c r="Z118" s="368" t="s">
        <v>515</v>
      </c>
      <c r="AA118" s="368">
        <v>5750</v>
      </c>
      <c r="AB118" s="368" t="s">
        <v>515</v>
      </c>
      <c r="AC118" s="368">
        <v>5740</v>
      </c>
      <c r="AD118" s="368" t="s">
        <v>515</v>
      </c>
      <c r="AE118" s="368">
        <v>7510</v>
      </c>
      <c r="AF118" s="368" t="s">
        <v>515</v>
      </c>
      <c r="AG118" s="368">
        <v>7250</v>
      </c>
      <c r="AH118" s="368" t="s">
        <v>515</v>
      </c>
      <c r="AI118" s="368">
        <v>7850</v>
      </c>
      <c r="AJ118" s="368" t="s">
        <v>515</v>
      </c>
      <c r="AK118" s="368">
        <v>8100</v>
      </c>
      <c r="AL118" s="368" t="s">
        <v>515</v>
      </c>
      <c r="AM118" s="368">
        <f t="shared" si="2"/>
        <v>92100</v>
      </c>
      <c r="AN118" s="10"/>
    </row>
    <row r="119" spans="1:40" s="90" customFormat="1" ht="18" customHeight="1" x14ac:dyDescent="0.3">
      <c r="A119" s="431">
        <v>55</v>
      </c>
      <c r="B119" s="422" t="s">
        <v>633</v>
      </c>
      <c r="C119" s="11" t="s">
        <v>512</v>
      </c>
      <c r="D119" s="156" t="s">
        <v>516</v>
      </c>
      <c r="E119" s="31" t="s">
        <v>364</v>
      </c>
      <c r="F119" s="23" t="s">
        <v>49</v>
      </c>
      <c r="G119" s="374"/>
      <c r="H119" s="133"/>
      <c r="I119" s="156"/>
      <c r="J119" s="133"/>
      <c r="K119" s="330" t="s">
        <v>218</v>
      </c>
      <c r="L119" s="330" t="s">
        <v>218</v>
      </c>
      <c r="M119" s="24">
        <v>21265</v>
      </c>
      <c r="N119" s="330">
        <v>19698</v>
      </c>
      <c r="O119" s="368">
        <v>1665</v>
      </c>
      <c r="P119" s="368" t="s">
        <v>515</v>
      </c>
      <c r="Q119" s="368">
        <v>1716</v>
      </c>
      <c r="R119" s="368" t="s">
        <v>515</v>
      </c>
      <c r="S119" s="368">
        <v>1473</v>
      </c>
      <c r="T119" s="368" t="s">
        <v>515</v>
      </c>
      <c r="U119" s="368">
        <v>1655</v>
      </c>
      <c r="V119" s="368" t="s">
        <v>515</v>
      </c>
      <c r="W119" s="368">
        <v>1515</v>
      </c>
      <c r="X119" s="368" t="s">
        <v>515</v>
      </c>
      <c r="Y119" s="368">
        <v>1708</v>
      </c>
      <c r="Z119" s="368" t="s">
        <v>515</v>
      </c>
      <c r="AA119" s="368">
        <v>1523</v>
      </c>
      <c r="AB119" s="368" t="s">
        <v>515</v>
      </c>
      <c r="AC119" s="368">
        <v>1416</v>
      </c>
      <c r="AD119" s="368" t="s">
        <v>515</v>
      </c>
      <c r="AE119" s="368">
        <v>1429</v>
      </c>
      <c r="AF119" s="368" t="s">
        <v>515</v>
      </c>
      <c r="AG119" s="368">
        <v>1454</v>
      </c>
      <c r="AH119" s="368" t="s">
        <v>515</v>
      </c>
      <c r="AI119" s="368">
        <v>1347</v>
      </c>
      <c r="AJ119" s="368" t="s">
        <v>515</v>
      </c>
      <c r="AK119" s="368">
        <v>1324</v>
      </c>
      <c r="AL119" s="368" t="s">
        <v>515</v>
      </c>
      <c r="AM119" s="368">
        <f t="shared" si="2"/>
        <v>18225</v>
      </c>
      <c r="AN119" s="10"/>
    </row>
    <row r="120" spans="1:40" s="90" customFormat="1" ht="18" customHeight="1" x14ac:dyDescent="0.3">
      <c r="A120" s="432"/>
      <c r="B120" s="423"/>
      <c r="C120" s="12"/>
      <c r="D120" s="156"/>
      <c r="E120" s="31" t="s">
        <v>48</v>
      </c>
      <c r="F120" s="23" t="s">
        <v>49</v>
      </c>
      <c r="G120" s="374" t="s">
        <v>531</v>
      </c>
      <c r="H120" s="133">
        <v>135</v>
      </c>
      <c r="I120" s="156" t="s">
        <v>532</v>
      </c>
      <c r="J120" s="133">
        <v>5</v>
      </c>
      <c r="K120" s="330" t="s">
        <v>218</v>
      </c>
      <c r="L120" s="330" t="s">
        <v>218</v>
      </c>
      <c r="M120" s="24">
        <v>48269</v>
      </c>
      <c r="N120" s="330">
        <v>46615</v>
      </c>
      <c r="O120" s="368">
        <v>5072</v>
      </c>
      <c r="P120" s="368" t="s">
        <v>515</v>
      </c>
      <c r="Q120" s="368">
        <v>4644</v>
      </c>
      <c r="R120" s="368" t="s">
        <v>515</v>
      </c>
      <c r="S120" s="368">
        <v>4188</v>
      </c>
      <c r="T120" s="368" t="s">
        <v>515</v>
      </c>
      <c r="U120" s="368">
        <v>3483</v>
      </c>
      <c r="V120" s="368" t="s">
        <v>515</v>
      </c>
      <c r="W120" s="368">
        <v>2986</v>
      </c>
      <c r="X120" s="368" t="s">
        <v>515</v>
      </c>
      <c r="Y120" s="368">
        <v>2885</v>
      </c>
      <c r="Z120" s="368" t="s">
        <v>515</v>
      </c>
      <c r="AA120" s="368">
        <v>2574</v>
      </c>
      <c r="AB120" s="368" t="s">
        <v>515</v>
      </c>
      <c r="AC120" s="368">
        <v>2619</v>
      </c>
      <c r="AD120" s="368" t="s">
        <v>515</v>
      </c>
      <c r="AE120" s="368">
        <v>3146</v>
      </c>
      <c r="AF120" s="368" t="s">
        <v>515</v>
      </c>
      <c r="AG120" s="368">
        <v>3361</v>
      </c>
      <c r="AH120" s="368" t="s">
        <v>515</v>
      </c>
      <c r="AI120" s="368">
        <v>3783</v>
      </c>
      <c r="AJ120" s="368" t="s">
        <v>515</v>
      </c>
      <c r="AK120" s="368">
        <v>4599</v>
      </c>
      <c r="AL120" s="368" t="s">
        <v>515</v>
      </c>
      <c r="AM120" s="368">
        <f t="shared" si="2"/>
        <v>43340</v>
      </c>
      <c r="AN120" s="10"/>
    </row>
    <row r="121" spans="1:40" s="90" customFormat="1" ht="18" customHeight="1" x14ac:dyDescent="0.3">
      <c r="A121" s="431">
        <v>56</v>
      </c>
      <c r="B121" s="422" t="s">
        <v>634</v>
      </c>
      <c r="C121" s="11" t="s">
        <v>512</v>
      </c>
      <c r="D121" s="156" t="s">
        <v>516</v>
      </c>
      <c r="E121" s="31" t="s">
        <v>364</v>
      </c>
      <c r="F121" s="23" t="s">
        <v>49</v>
      </c>
      <c r="G121" s="374"/>
      <c r="H121" s="133"/>
      <c r="I121" s="156"/>
      <c r="J121" s="133"/>
      <c r="K121" s="330"/>
      <c r="L121" s="330"/>
      <c r="M121" s="24"/>
      <c r="N121" s="330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68"/>
      <c r="Z121" s="368"/>
      <c r="AA121" s="368"/>
      <c r="AB121" s="368"/>
      <c r="AC121" s="368"/>
      <c r="AD121" s="368"/>
      <c r="AE121" s="368"/>
      <c r="AF121" s="368"/>
      <c r="AG121" s="368"/>
      <c r="AH121" s="368"/>
      <c r="AI121" s="368"/>
      <c r="AJ121" s="368"/>
      <c r="AK121" s="368"/>
      <c r="AL121" s="368"/>
      <c r="AM121" s="368"/>
    </row>
    <row r="122" spans="1:40" s="90" customFormat="1" ht="18" customHeight="1" x14ac:dyDescent="0.3">
      <c r="A122" s="432"/>
      <c r="B122" s="423"/>
      <c r="C122" s="12"/>
      <c r="D122" s="156"/>
      <c r="E122" s="31" t="s">
        <v>48</v>
      </c>
      <c r="F122" s="23" t="s">
        <v>49</v>
      </c>
      <c r="G122" s="374" t="s">
        <v>520</v>
      </c>
      <c r="H122" s="133">
        <v>66</v>
      </c>
      <c r="I122" s="156"/>
      <c r="J122" s="133"/>
      <c r="K122" s="330" t="s">
        <v>218</v>
      </c>
      <c r="L122" s="330" t="s">
        <v>218</v>
      </c>
      <c r="M122" s="24">
        <v>10821</v>
      </c>
      <c r="N122" s="330">
        <v>10827</v>
      </c>
      <c r="O122" s="368">
        <v>1330</v>
      </c>
      <c r="P122" s="368" t="s">
        <v>515</v>
      </c>
      <c r="Q122" s="368">
        <v>1138</v>
      </c>
      <c r="R122" s="368" t="s">
        <v>515</v>
      </c>
      <c r="S122" s="368">
        <v>834</v>
      </c>
      <c r="T122" s="368" t="s">
        <v>515</v>
      </c>
      <c r="U122" s="368">
        <v>711</v>
      </c>
      <c r="V122" s="368" t="s">
        <v>515</v>
      </c>
      <c r="W122" s="368">
        <v>523</v>
      </c>
      <c r="X122" s="368" t="s">
        <v>515</v>
      </c>
      <c r="Y122" s="368">
        <v>518</v>
      </c>
      <c r="Z122" s="368" t="s">
        <v>515</v>
      </c>
      <c r="AA122" s="368">
        <v>626</v>
      </c>
      <c r="AB122" s="368" t="s">
        <v>515</v>
      </c>
      <c r="AC122" s="368">
        <v>435</v>
      </c>
      <c r="AD122" s="368" t="s">
        <v>515</v>
      </c>
      <c r="AE122" s="368">
        <v>696</v>
      </c>
      <c r="AF122" s="368" t="s">
        <v>515</v>
      </c>
      <c r="AG122" s="368">
        <v>879</v>
      </c>
      <c r="AH122" s="368" t="s">
        <v>515</v>
      </c>
      <c r="AI122" s="368">
        <v>891</v>
      </c>
      <c r="AJ122" s="368" t="s">
        <v>515</v>
      </c>
      <c r="AK122" s="368">
        <v>938</v>
      </c>
      <c r="AL122" s="368" t="s">
        <v>515</v>
      </c>
      <c r="AM122" s="368">
        <f>SUM(O122:AK122)</f>
        <v>9519</v>
      </c>
    </row>
    <row r="123" spans="1:40" s="90" customFormat="1" ht="18" customHeight="1" x14ac:dyDescent="0.3">
      <c r="A123" s="431">
        <v>57</v>
      </c>
      <c r="B123" s="422" t="s">
        <v>635</v>
      </c>
      <c r="C123" s="11" t="s">
        <v>512</v>
      </c>
      <c r="D123" s="156" t="s">
        <v>516</v>
      </c>
      <c r="E123" s="31" t="s">
        <v>364</v>
      </c>
      <c r="F123" s="23" t="s">
        <v>49</v>
      </c>
      <c r="G123" s="374"/>
      <c r="H123" s="133"/>
      <c r="I123" s="156"/>
      <c r="J123" s="133"/>
      <c r="K123" s="330" t="s">
        <v>218</v>
      </c>
      <c r="L123" s="330" t="s">
        <v>218</v>
      </c>
      <c r="M123" s="24">
        <v>16074</v>
      </c>
      <c r="N123" s="330">
        <v>12559</v>
      </c>
      <c r="O123" s="368">
        <v>1162</v>
      </c>
      <c r="P123" s="368" t="s">
        <v>515</v>
      </c>
      <c r="Q123" s="368">
        <v>1144</v>
      </c>
      <c r="R123" s="368" t="s">
        <v>515</v>
      </c>
      <c r="S123" s="368">
        <v>1064</v>
      </c>
      <c r="T123" s="368" t="s">
        <v>515</v>
      </c>
      <c r="U123" s="368">
        <v>1284</v>
      </c>
      <c r="V123" s="368" t="s">
        <v>515</v>
      </c>
      <c r="W123" s="368">
        <v>1128</v>
      </c>
      <c r="X123" s="368" t="s">
        <v>515</v>
      </c>
      <c r="Y123" s="368">
        <v>1107</v>
      </c>
      <c r="Z123" s="368" t="s">
        <v>515</v>
      </c>
      <c r="AA123" s="368">
        <v>1154</v>
      </c>
      <c r="AB123" s="368" t="s">
        <v>515</v>
      </c>
      <c r="AC123" s="368">
        <v>812</v>
      </c>
      <c r="AD123" s="368" t="s">
        <v>515</v>
      </c>
      <c r="AE123" s="368">
        <v>1120</v>
      </c>
      <c r="AF123" s="368" t="s">
        <v>515</v>
      </c>
      <c r="AG123" s="368">
        <v>1087</v>
      </c>
      <c r="AH123" s="368" t="s">
        <v>515</v>
      </c>
      <c r="AI123" s="368">
        <v>1052</v>
      </c>
      <c r="AJ123" s="368" t="s">
        <v>515</v>
      </c>
      <c r="AK123" s="368">
        <v>1131</v>
      </c>
      <c r="AL123" s="368" t="s">
        <v>515</v>
      </c>
      <c r="AM123" s="368">
        <f>SUM(O123:AK123)</f>
        <v>13245</v>
      </c>
    </row>
    <row r="124" spans="1:40" s="90" customFormat="1" ht="18" customHeight="1" x14ac:dyDescent="0.3">
      <c r="A124" s="432"/>
      <c r="B124" s="423"/>
      <c r="C124" s="12"/>
      <c r="D124" s="156"/>
      <c r="E124" s="31" t="s">
        <v>48</v>
      </c>
      <c r="F124" s="23" t="s">
        <v>49</v>
      </c>
      <c r="G124" s="374" t="s">
        <v>533</v>
      </c>
      <c r="H124" s="133">
        <v>180</v>
      </c>
      <c r="I124" s="156"/>
      <c r="J124" s="133"/>
      <c r="K124" s="330" t="s">
        <v>218</v>
      </c>
      <c r="L124" s="330" t="s">
        <v>218</v>
      </c>
      <c r="M124" s="24">
        <v>21152</v>
      </c>
      <c r="N124" s="330">
        <v>17504</v>
      </c>
      <c r="O124" s="368">
        <v>1726</v>
      </c>
      <c r="P124" s="368" t="s">
        <v>515</v>
      </c>
      <c r="Q124" s="368">
        <v>1636</v>
      </c>
      <c r="R124" s="368" t="s">
        <v>515</v>
      </c>
      <c r="S124" s="368">
        <v>1239</v>
      </c>
      <c r="T124" s="368" t="s">
        <v>515</v>
      </c>
      <c r="U124" s="368">
        <v>1210</v>
      </c>
      <c r="V124" s="368" t="s">
        <v>515</v>
      </c>
      <c r="W124" s="368">
        <v>894</v>
      </c>
      <c r="X124" s="368" t="s">
        <v>515</v>
      </c>
      <c r="Y124" s="368">
        <v>776</v>
      </c>
      <c r="Z124" s="368" t="s">
        <v>515</v>
      </c>
      <c r="AA124" s="368">
        <v>584</v>
      </c>
      <c r="AB124" s="368" t="s">
        <v>515</v>
      </c>
      <c r="AC124" s="368">
        <v>468</v>
      </c>
      <c r="AD124" s="368" t="s">
        <v>515</v>
      </c>
      <c r="AE124" s="368">
        <v>956</v>
      </c>
      <c r="AF124" s="368" t="s">
        <v>515</v>
      </c>
      <c r="AG124" s="368">
        <v>1348</v>
      </c>
      <c r="AH124" s="368" t="s">
        <v>515</v>
      </c>
      <c r="AI124" s="368">
        <v>1472</v>
      </c>
      <c r="AJ124" s="368" t="s">
        <v>515</v>
      </c>
      <c r="AK124" s="368">
        <v>1550</v>
      </c>
      <c r="AL124" s="368" t="s">
        <v>515</v>
      </c>
      <c r="AM124" s="368">
        <f>SUM(O124:AK124)</f>
        <v>13859</v>
      </c>
    </row>
    <row r="125" spans="1:40" s="90" customFormat="1" ht="18" customHeight="1" x14ac:dyDescent="0.3">
      <c r="A125" s="431">
        <v>58</v>
      </c>
      <c r="B125" s="422" t="s">
        <v>636</v>
      </c>
      <c r="C125" s="11" t="s">
        <v>512</v>
      </c>
      <c r="D125" s="156" t="s">
        <v>516</v>
      </c>
      <c r="E125" s="31" t="s">
        <v>364</v>
      </c>
      <c r="F125" s="23" t="s">
        <v>49</v>
      </c>
      <c r="G125" s="374"/>
      <c r="H125" s="133"/>
      <c r="I125" s="156"/>
      <c r="J125" s="133"/>
      <c r="K125" s="330"/>
      <c r="L125" s="330"/>
      <c r="M125" s="24"/>
      <c r="N125" s="330"/>
      <c r="O125" s="368"/>
      <c r="P125" s="368"/>
      <c r="Q125" s="368"/>
      <c r="R125" s="368"/>
      <c r="S125" s="368"/>
      <c r="T125" s="368"/>
      <c r="U125" s="368"/>
      <c r="V125" s="368"/>
      <c r="W125" s="368"/>
      <c r="X125" s="368"/>
      <c r="Y125" s="368"/>
      <c r="Z125" s="368"/>
      <c r="AA125" s="368"/>
      <c r="AB125" s="368"/>
      <c r="AC125" s="368"/>
      <c r="AD125" s="368"/>
      <c r="AE125" s="368"/>
      <c r="AF125" s="368"/>
      <c r="AG125" s="368"/>
      <c r="AH125" s="368"/>
      <c r="AI125" s="368"/>
      <c r="AJ125" s="368"/>
      <c r="AK125" s="368"/>
      <c r="AL125" s="368"/>
      <c r="AM125" s="368"/>
    </row>
    <row r="126" spans="1:40" s="90" customFormat="1" ht="18" customHeight="1" x14ac:dyDescent="0.3">
      <c r="A126" s="432"/>
      <c r="B126" s="423"/>
      <c r="C126" s="12"/>
      <c r="D126" s="156"/>
      <c r="E126" s="31" t="s">
        <v>48</v>
      </c>
      <c r="F126" s="23" t="s">
        <v>49</v>
      </c>
      <c r="G126" s="374" t="s">
        <v>533</v>
      </c>
      <c r="H126" s="133">
        <v>54</v>
      </c>
      <c r="I126" s="156"/>
      <c r="J126" s="133"/>
      <c r="K126" s="330" t="s">
        <v>218</v>
      </c>
      <c r="L126" s="330" t="s">
        <v>218</v>
      </c>
      <c r="M126" s="24">
        <v>3485</v>
      </c>
      <c r="N126" s="330">
        <v>2742</v>
      </c>
      <c r="O126" s="368">
        <v>310</v>
      </c>
      <c r="P126" s="368" t="s">
        <v>515</v>
      </c>
      <c r="Q126" s="368">
        <v>347</v>
      </c>
      <c r="R126" s="368" t="s">
        <v>515</v>
      </c>
      <c r="S126" s="368">
        <v>192</v>
      </c>
      <c r="T126" s="368" t="s">
        <v>515</v>
      </c>
      <c r="U126" s="368">
        <v>211</v>
      </c>
      <c r="V126" s="368" t="s">
        <v>515</v>
      </c>
      <c r="W126" s="368">
        <v>173</v>
      </c>
      <c r="X126" s="368" t="s">
        <v>515</v>
      </c>
      <c r="Y126" s="368">
        <v>210</v>
      </c>
      <c r="Z126" s="368" t="s">
        <v>515</v>
      </c>
      <c r="AA126" s="368">
        <v>190</v>
      </c>
      <c r="AB126" s="368" t="s">
        <v>515</v>
      </c>
      <c r="AC126" s="368">
        <v>191</v>
      </c>
      <c r="AD126" s="368" t="s">
        <v>515</v>
      </c>
      <c r="AE126" s="368">
        <v>196</v>
      </c>
      <c r="AF126" s="368" t="s">
        <v>515</v>
      </c>
      <c r="AG126" s="368">
        <v>199</v>
      </c>
      <c r="AH126" s="368" t="s">
        <v>515</v>
      </c>
      <c r="AI126" s="368">
        <v>254</v>
      </c>
      <c r="AJ126" s="368" t="s">
        <v>515</v>
      </c>
      <c r="AK126" s="368">
        <v>324</v>
      </c>
      <c r="AL126" s="368" t="s">
        <v>515</v>
      </c>
      <c r="AM126" s="368">
        <f>SUM(O126:AK126)</f>
        <v>2797</v>
      </c>
    </row>
    <row r="127" spans="1:40" s="90" customFormat="1" ht="18" customHeight="1" x14ac:dyDescent="0.3">
      <c r="A127" s="431">
        <v>59</v>
      </c>
      <c r="B127" s="422" t="s">
        <v>637</v>
      </c>
      <c r="C127" s="11" t="s">
        <v>512</v>
      </c>
      <c r="D127" s="156" t="s">
        <v>516</v>
      </c>
      <c r="E127" s="31" t="s">
        <v>364</v>
      </c>
      <c r="F127" s="23" t="s">
        <v>49</v>
      </c>
      <c r="G127" s="374"/>
      <c r="H127" s="133"/>
      <c r="I127" s="156"/>
      <c r="J127" s="133"/>
      <c r="K127" s="330"/>
      <c r="L127" s="330"/>
      <c r="M127" s="24"/>
      <c r="N127" s="330"/>
      <c r="O127" s="368"/>
      <c r="P127" s="368"/>
      <c r="Q127" s="368"/>
      <c r="R127" s="368"/>
      <c r="S127" s="368"/>
      <c r="T127" s="368"/>
      <c r="U127" s="368"/>
      <c r="V127" s="368"/>
      <c r="W127" s="368"/>
      <c r="X127" s="368"/>
      <c r="Y127" s="368"/>
      <c r="Z127" s="368"/>
      <c r="AA127" s="368"/>
      <c r="AB127" s="368"/>
      <c r="AC127" s="368"/>
      <c r="AD127" s="368"/>
      <c r="AE127" s="368"/>
      <c r="AF127" s="368"/>
      <c r="AG127" s="368"/>
      <c r="AH127" s="368"/>
      <c r="AI127" s="368"/>
      <c r="AJ127" s="368"/>
      <c r="AK127" s="368"/>
      <c r="AL127" s="368"/>
      <c r="AM127" s="368"/>
    </row>
    <row r="128" spans="1:40" s="90" customFormat="1" ht="18" customHeight="1" x14ac:dyDescent="0.3">
      <c r="A128" s="432"/>
      <c r="B128" s="423"/>
      <c r="C128" s="12"/>
      <c r="D128" s="156"/>
      <c r="E128" s="31" t="s">
        <v>48</v>
      </c>
      <c r="F128" s="23" t="s">
        <v>49</v>
      </c>
      <c r="G128" s="374" t="s">
        <v>519</v>
      </c>
      <c r="H128" s="133">
        <v>90</v>
      </c>
      <c r="I128" s="156"/>
      <c r="J128" s="133"/>
      <c r="K128" s="330" t="s">
        <v>218</v>
      </c>
      <c r="L128" s="330" t="s">
        <v>218</v>
      </c>
      <c r="M128" s="24">
        <v>3810</v>
      </c>
      <c r="N128" s="330">
        <v>4542</v>
      </c>
      <c r="O128" s="368">
        <v>624</v>
      </c>
      <c r="P128" s="368" t="s">
        <v>515</v>
      </c>
      <c r="Q128" s="368">
        <v>599</v>
      </c>
      <c r="R128" s="368" t="s">
        <v>515</v>
      </c>
      <c r="S128" s="368">
        <v>396</v>
      </c>
      <c r="T128" s="368" t="s">
        <v>515</v>
      </c>
      <c r="U128" s="368">
        <v>464</v>
      </c>
      <c r="V128" s="368" t="s">
        <v>515</v>
      </c>
      <c r="W128" s="368">
        <v>374</v>
      </c>
      <c r="X128" s="368" t="s">
        <v>515</v>
      </c>
      <c r="Y128" s="368">
        <v>392</v>
      </c>
      <c r="Z128" s="368" t="s">
        <v>515</v>
      </c>
      <c r="AA128" s="368">
        <v>393</v>
      </c>
      <c r="AB128" s="368" t="s">
        <v>515</v>
      </c>
      <c r="AC128" s="368">
        <v>464</v>
      </c>
      <c r="AD128" s="368" t="s">
        <v>515</v>
      </c>
      <c r="AE128" s="368">
        <v>470</v>
      </c>
      <c r="AF128" s="368" t="s">
        <v>515</v>
      </c>
      <c r="AG128" s="368">
        <v>512</v>
      </c>
      <c r="AH128" s="368" t="s">
        <v>515</v>
      </c>
      <c r="AI128" s="368">
        <v>536</v>
      </c>
      <c r="AJ128" s="368" t="s">
        <v>515</v>
      </c>
      <c r="AK128" s="368">
        <v>668</v>
      </c>
      <c r="AL128" s="368" t="s">
        <v>515</v>
      </c>
      <c r="AM128" s="368">
        <f>SUM(O128:AK128)</f>
        <v>5892</v>
      </c>
    </row>
    <row r="129" spans="1:39" s="90" customFormat="1" ht="18" customHeight="1" x14ac:dyDescent="0.3">
      <c r="A129" s="431">
        <v>60</v>
      </c>
      <c r="B129" s="422" t="s">
        <v>638</v>
      </c>
      <c r="C129" s="11" t="s">
        <v>512</v>
      </c>
      <c r="D129" s="156" t="s">
        <v>516</v>
      </c>
      <c r="E129" s="31" t="s">
        <v>364</v>
      </c>
      <c r="F129" s="23" t="s">
        <v>49</v>
      </c>
      <c r="G129" s="374"/>
      <c r="H129" s="133"/>
      <c r="I129" s="156"/>
      <c r="J129" s="133"/>
      <c r="K129" s="330"/>
      <c r="L129" s="330"/>
      <c r="M129" s="24"/>
      <c r="N129" s="330"/>
      <c r="O129" s="368"/>
      <c r="P129" s="368"/>
      <c r="Q129" s="368"/>
      <c r="R129" s="368"/>
      <c r="S129" s="368"/>
      <c r="T129" s="368"/>
      <c r="U129" s="368"/>
      <c r="V129" s="368"/>
      <c r="W129" s="368"/>
      <c r="X129" s="368"/>
      <c r="Y129" s="368"/>
      <c r="Z129" s="368"/>
      <c r="AA129" s="368"/>
      <c r="AB129" s="368"/>
      <c r="AC129" s="368"/>
      <c r="AD129" s="368"/>
      <c r="AE129" s="368"/>
      <c r="AF129" s="368"/>
      <c r="AG129" s="368"/>
      <c r="AH129" s="368"/>
      <c r="AI129" s="368"/>
      <c r="AJ129" s="368"/>
      <c r="AK129" s="368"/>
      <c r="AL129" s="368"/>
      <c r="AM129" s="368"/>
    </row>
    <row r="130" spans="1:39" s="90" customFormat="1" ht="18" customHeight="1" x14ac:dyDescent="0.3">
      <c r="A130" s="432"/>
      <c r="B130" s="423"/>
      <c r="C130" s="12"/>
      <c r="D130" s="156"/>
      <c r="E130" s="31" t="s">
        <v>48</v>
      </c>
      <c r="F130" s="23" t="s">
        <v>49</v>
      </c>
      <c r="G130" s="374" t="s">
        <v>534</v>
      </c>
      <c r="H130" s="133">
        <v>72</v>
      </c>
      <c r="I130" s="156"/>
      <c r="J130" s="133"/>
      <c r="K130" s="330" t="s">
        <v>218</v>
      </c>
      <c r="L130" s="330" t="s">
        <v>218</v>
      </c>
      <c r="M130" s="24">
        <v>9624</v>
      </c>
      <c r="N130" s="330">
        <v>9163</v>
      </c>
      <c r="O130" s="368">
        <v>1256</v>
      </c>
      <c r="P130" s="368" t="s">
        <v>515</v>
      </c>
      <c r="Q130" s="368">
        <v>1091</v>
      </c>
      <c r="R130" s="368" t="s">
        <v>515</v>
      </c>
      <c r="S130" s="368">
        <v>584</v>
      </c>
      <c r="T130" s="368" t="s">
        <v>515</v>
      </c>
      <c r="U130" s="368">
        <v>547</v>
      </c>
      <c r="V130" s="368" t="s">
        <v>515</v>
      </c>
      <c r="W130" s="368">
        <v>425</v>
      </c>
      <c r="X130" s="368" t="s">
        <v>515</v>
      </c>
      <c r="Y130" s="368">
        <v>447</v>
      </c>
      <c r="Z130" s="368" t="s">
        <v>515</v>
      </c>
      <c r="AA130" s="368">
        <v>346</v>
      </c>
      <c r="AB130" s="368" t="s">
        <v>515</v>
      </c>
      <c r="AC130" s="368">
        <v>462</v>
      </c>
      <c r="AD130" s="368" t="s">
        <v>515</v>
      </c>
      <c r="AE130" s="368">
        <v>536</v>
      </c>
      <c r="AF130" s="368" t="s">
        <v>515</v>
      </c>
      <c r="AG130" s="368">
        <v>538</v>
      </c>
      <c r="AH130" s="368" t="s">
        <v>515</v>
      </c>
      <c r="AI130" s="368">
        <v>459</v>
      </c>
      <c r="AJ130" s="368" t="s">
        <v>515</v>
      </c>
      <c r="AK130" s="368">
        <v>793</v>
      </c>
      <c r="AL130" s="368" t="s">
        <v>515</v>
      </c>
      <c r="AM130" s="368">
        <f>SUM(O130:AK130)</f>
        <v>7484</v>
      </c>
    </row>
    <row r="131" spans="1:39" s="90" customFormat="1" ht="18" customHeight="1" x14ac:dyDescent="0.3">
      <c r="A131" s="431">
        <v>61</v>
      </c>
      <c r="B131" s="422" t="s">
        <v>639</v>
      </c>
      <c r="C131" s="11" t="s">
        <v>512</v>
      </c>
      <c r="D131" s="156" t="s">
        <v>516</v>
      </c>
      <c r="E131" s="31" t="s">
        <v>364</v>
      </c>
      <c r="F131" s="23" t="s">
        <v>49</v>
      </c>
      <c r="G131" s="374"/>
      <c r="H131" s="133"/>
      <c r="I131" s="156"/>
      <c r="J131" s="133"/>
      <c r="K131" s="330" t="s">
        <v>218</v>
      </c>
      <c r="L131" s="330" t="s">
        <v>218</v>
      </c>
      <c r="M131" s="24">
        <v>0</v>
      </c>
      <c r="N131" s="330">
        <v>0</v>
      </c>
      <c r="O131" s="368">
        <v>251</v>
      </c>
      <c r="P131" s="368" t="s">
        <v>515</v>
      </c>
      <c r="Q131" s="368">
        <v>259</v>
      </c>
      <c r="R131" s="368" t="s">
        <v>515</v>
      </c>
      <c r="S131" s="368">
        <v>228</v>
      </c>
      <c r="T131" s="368" t="s">
        <v>515</v>
      </c>
      <c r="U131" s="368">
        <v>278</v>
      </c>
      <c r="V131" s="368" t="s">
        <v>515</v>
      </c>
      <c r="W131" s="368">
        <v>232</v>
      </c>
      <c r="X131" s="368" t="s">
        <v>515</v>
      </c>
      <c r="Y131" s="368">
        <v>239</v>
      </c>
      <c r="Z131" s="368" t="s">
        <v>515</v>
      </c>
      <c r="AA131" s="368">
        <v>258</v>
      </c>
      <c r="AB131" s="368" t="s">
        <v>515</v>
      </c>
      <c r="AC131" s="368">
        <v>196</v>
      </c>
      <c r="AD131" s="368" t="s">
        <v>515</v>
      </c>
      <c r="AE131" s="368">
        <v>276</v>
      </c>
      <c r="AF131" s="368" t="s">
        <v>515</v>
      </c>
      <c r="AG131" s="368">
        <v>263</v>
      </c>
      <c r="AH131" s="368" t="s">
        <v>515</v>
      </c>
      <c r="AI131" s="368">
        <v>287</v>
      </c>
      <c r="AJ131" s="368" t="s">
        <v>515</v>
      </c>
      <c r="AK131" s="368">
        <v>310</v>
      </c>
      <c r="AL131" s="368" t="s">
        <v>515</v>
      </c>
      <c r="AM131" s="368">
        <f>SUM(O131:AK131)</f>
        <v>3077</v>
      </c>
    </row>
    <row r="132" spans="1:39" s="90" customFormat="1" ht="18" customHeight="1" x14ac:dyDescent="0.3">
      <c r="A132" s="432"/>
      <c r="B132" s="423"/>
      <c r="C132" s="12"/>
      <c r="D132" s="156"/>
      <c r="E132" s="31" t="s">
        <v>48</v>
      </c>
      <c r="F132" s="23" t="s">
        <v>49</v>
      </c>
      <c r="G132" s="374" t="s">
        <v>535</v>
      </c>
      <c r="H132" s="133">
        <v>50</v>
      </c>
      <c r="I132" s="156"/>
      <c r="J132" s="133"/>
      <c r="K132" s="330" t="s">
        <v>218</v>
      </c>
      <c r="L132" s="330" t="s">
        <v>218</v>
      </c>
      <c r="M132" s="24">
        <v>0</v>
      </c>
      <c r="N132" s="330">
        <v>0</v>
      </c>
      <c r="O132" s="368">
        <v>913</v>
      </c>
      <c r="P132" s="368" t="s">
        <v>515</v>
      </c>
      <c r="Q132" s="368">
        <v>793</v>
      </c>
      <c r="R132" s="368" t="s">
        <v>515</v>
      </c>
      <c r="S132" s="368">
        <v>579</v>
      </c>
      <c r="T132" s="368" t="s">
        <v>515</v>
      </c>
      <c r="U132" s="368">
        <v>774</v>
      </c>
      <c r="V132" s="368" t="s">
        <v>515</v>
      </c>
      <c r="W132" s="368">
        <v>593</v>
      </c>
      <c r="X132" s="368" t="s">
        <v>515</v>
      </c>
      <c r="Y132" s="368">
        <v>579</v>
      </c>
      <c r="Z132" s="368" t="s">
        <v>515</v>
      </c>
      <c r="AA132" s="368">
        <v>583</v>
      </c>
      <c r="AB132" s="368" t="s">
        <v>515</v>
      </c>
      <c r="AC132" s="368">
        <v>503</v>
      </c>
      <c r="AD132" s="368" t="s">
        <v>515</v>
      </c>
      <c r="AE132" s="368">
        <v>687</v>
      </c>
      <c r="AF132" s="368" t="s">
        <v>515</v>
      </c>
      <c r="AG132" s="368">
        <v>596</v>
      </c>
      <c r="AH132" s="368" t="s">
        <v>515</v>
      </c>
      <c r="AI132" s="368">
        <v>637</v>
      </c>
      <c r="AJ132" s="368" t="s">
        <v>515</v>
      </c>
      <c r="AK132" s="368">
        <v>654</v>
      </c>
      <c r="AL132" s="368" t="s">
        <v>515</v>
      </c>
      <c r="AM132" s="368">
        <f>SUM(O132:AK132)</f>
        <v>7891</v>
      </c>
    </row>
    <row r="133" spans="1:39" s="90" customFormat="1" ht="18" customHeight="1" x14ac:dyDescent="0.3">
      <c r="A133" s="431">
        <v>62</v>
      </c>
      <c r="B133" s="422" t="s">
        <v>640</v>
      </c>
      <c r="C133" s="11" t="s">
        <v>512</v>
      </c>
      <c r="D133" s="156" t="s">
        <v>516</v>
      </c>
      <c r="E133" s="31" t="s">
        <v>364</v>
      </c>
      <c r="F133" s="23" t="s">
        <v>49</v>
      </c>
      <c r="G133" s="374"/>
      <c r="H133" s="133"/>
      <c r="I133" s="156"/>
      <c r="J133" s="133"/>
      <c r="K133" s="330" t="s">
        <v>218</v>
      </c>
      <c r="L133" s="330" t="s">
        <v>218</v>
      </c>
      <c r="M133" s="24">
        <v>13927</v>
      </c>
      <c r="N133" s="330">
        <v>13803</v>
      </c>
      <c r="O133" s="368">
        <v>1131</v>
      </c>
      <c r="P133" s="368" t="s">
        <v>515</v>
      </c>
      <c r="Q133" s="368">
        <v>1030</v>
      </c>
      <c r="R133" s="368" t="s">
        <v>515</v>
      </c>
      <c r="S133" s="368">
        <v>1388</v>
      </c>
      <c r="T133" s="368" t="s">
        <v>515</v>
      </c>
      <c r="U133" s="368">
        <v>1134</v>
      </c>
      <c r="V133" s="368" t="s">
        <v>515</v>
      </c>
      <c r="W133" s="368">
        <v>1125</v>
      </c>
      <c r="X133" s="368" t="s">
        <v>515</v>
      </c>
      <c r="Y133" s="368">
        <v>1161</v>
      </c>
      <c r="Z133" s="368" t="s">
        <v>515</v>
      </c>
      <c r="AA133" s="368">
        <v>1045</v>
      </c>
      <c r="AB133" s="368" t="s">
        <v>515</v>
      </c>
      <c r="AC133" s="368">
        <v>1138</v>
      </c>
      <c r="AD133" s="368" t="s">
        <v>515</v>
      </c>
      <c r="AE133" s="368">
        <v>1087</v>
      </c>
      <c r="AF133" s="368" t="s">
        <v>515</v>
      </c>
      <c r="AG133" s="368">
        <v>1108</v>
      </c>
      <c r="AH133" s="368" t="s">
        <v>515</v>
      </c>
      <c r="AI133" s="368">
        <v>1085</v>
      </c>
      <c r="AJ133" s="368" t="s">
        <v>515</v>
      </c>
      <c r="AK133" s="368">
        <v>1290</v>
      </c>
      <c r="AL133" s="368" t="s">
        <v>515</v>
      </c>
      <c r="AM133" s="368">
        <f>SUM(O133:AK133)</f>
        <v>13722</v>
      </c>
    </row>
    <row r="134" spans="1:39" s="90" customFormat="1" ht="18" customHeight="1" x14ac:dyDescent="0.3">
      <c r="A134" s="432"/>
      <c r="B134" s="423"/>
      <c r="C134" s="12"/>
      <c r="D134" s="156"/>
      <c r="E134" s="31" t="s">
        <v>48</v>
      </c>
      <c r="F134" s="23" t="s">
        <v>49</v>
      </c>
      <c r="G134" s="374" t="s">
        <v>533</v>
      </c>
      <c r="H134" s="133">
        <v>200</v>
      </c>
      <c r="I134" s="156"/>
      <c r="J134" s="133"/>
      <c r="K134" s="330" t="s">
        <v>218</v>
      </c>
      <c r="L134" s="330" t="s">
        <v>218</v>
      </c>
      <c r="M134" s="24">
        <v>24145</v>
      </c>
      <c r="N134" s="330">
        <v>10043</v>
      </c>
      <c r="O134" s="368">
        <v>929</v>
      </c>
      <c r="P134" s="368" t="s">
        <v>515</v>
      </c>
      <c r="Q134" s="368">
        <v>793</v>
      </c>
      <c r="R134" s="368" t="s">
        <v>515</v>
      </c>
      <c r="S134" s="368">
        <v>774</v>
      </c>
      <c r="T134" s="368" t="s">
        <v>515</v>
      </c>
      <c r="U134" s="368">
        <v>759</v>
      </c>
      <c r="V134" s="368" t="s">
        <v>515</v>
      </c>
      <c r="W134" s="368">
        <v>692</v>
      </c>
      <c r="X134" s="368" t="s">
        <v>515</v>
      </c>
      <c r="Y134" s="368">
        <v>546</v>
      </c>
      <c r="Z134" s="368" t="s">
        <v>515</v>
      </c>
      <c r="AA134" s="368">
        <v>649</v>
      </c>
      <c r="AB134" s="368" t="s">
        <v>515</v>
      </c>
      <c r="AC134" s="368">
        <v>1353</v>
      </c>
      <c r="AD134" s="368" t="s">
        <v>515</v>
      </c>
      <c r="AE134" s="368">
        <v>1133</v>
      </c>
      <c r="AF134" s="368" t="s">
        <v>515</v>
      </c>
      <c r="AG134" s="368">
        <v>777</v>
      </c>
      <c r="AH134" s="368" t="s">
        <v>515</v>
      </c>
      <c r="AI134" s="368">
        <v>811</v>
      </c>
      <c r="AJ134" s="368" t="s">
        <v>515</v>
      </c>
      <c r="AK134" s="368">
        <v>1124</v>
      </c>
      <c r="AL134" s="368" t="s">
        <v>515</v>
      </c>
      <c r="AM134" s="368">
        <f>SUM(O134:AK134)</f>
        <v>10340</v>
      </c>
    </row>
    <row r="135" spans="1:39" s="90" customFormat="1" ht="18" customHeight="1" x14ac:dyDescent="0.3">
      <c r="A135" s="431">
        <v>63</v>
      </c>
      <c r="B135" s="422" t="s">
        <v>641</v>
      </c>
      <c r="C135" s="11" t="s">
        <v>512</v>
      </c>
      <c r="D135" s="156" t="s">
        <v>516</v>
      </c>
      <c r="E135" s="31" t="s">
        <v>364</v>
      </c>
      <c r="F135" s="23" t="s">
        <v>49</v>
      </c>
      <c r="G135" s="374"/>
      <c r="H135" s="133"/>
      <c r="I135" s="156"/>
      <c r="J135" s="133"/>
      <c r="K135" s="330"/>
      <c r="L135" s="330"/>
      <c r="M135" s="24"/>
      <c r="N135" s="330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368"/>
      <c r="Z135" s="368"/>
      <c r="AA135" s="368"/>
      <c r="AB135" s="368"/>
      <c r="AC135" s="368"/>
      <c r="AD135" s="368"/>
      <c r="AE135" s="368"/>
      <c r="AF135" s="368"/>
      <c r="AG135" s="368"/>
      <c r="AH135" s="368"/>
      <c r="AI135" s="368"/>
      <c r="AJ135" s="368"/>
      <c r="AK135" s="368"/>
      <c r="AL135" s="368"/>
      <c r="AM135" s="368"/>
    </row>
    <row r="136" spans="1:39" s="90" customFormat="1" ht="18" customHeight="1" x14ac:dyDescent="0.3">
      <c r="A136" s="432"/>
      <c r="B136" s="423"/>
      <c r="C136" s="12"/>
      <c r="D136" s="156"/>
      <c r="E136" s="31" t="s">
        <v>48</v>
      </c>
      <c r="F136" s="23" t="s">
        <v>49</v>
      </c>
      <c r="G136" s="374" t="s">
        <v>536</v>
      </c>
      <c r="H136" s="133">
        <v>72</v>
      </c>
      <c r="I136" s="156"/>
      <c r="J136" s="133"/>
      <c r="K136" s="330" t="s">
        <v>218</v>
      </c>
      <c r="L136" s="330" t="s">
        <v>218</v>
      </c>
      <c r="M136" s="24">
        <v>8179</v>
      </c>
      <c r="N136" s="330">
        <v>9263</v>
      </c>
      <c r="O136" s="368">
        <v>1023</v>
      </c>
      <c r="P136" s="368" t="s">
        <v>515</v>
      </c>
      <c r="Q136" s="368">
        <v>1084</v>
      </c>
      <c r="R136" s="368" t="s">
        <v>515</v>
      </c>
      <c r="S136" s="368">
        <v>751</v>
      </c>
      <c r="T136" s="368" t="s">
        <v>515</v>
      </c>
      <c r="U136" s="368">
        <v>574</v>
      </c>
      <c r="V136" s="368" t="s">
        <v>515</v>
      </c>
      <c r="W136" s="368">
        <v>424</v>
      </c>
      <c r="X136" s="368" t="s">
        <v>515</v>
      </c>
      <c r="Y136" s="368">
        <v>412</v>
      </c>
      <c r="Z136" s="368" t="s">
        <v>515</v>
      </c>
      <c r="AA136" s="368">
        <v>399</v>
      </c>
      <c r="AB136" s="368" t="s">
        <v>515</v>
      </c>
      <c r="AC136" s="368">
        <v>394</v>
      </c>
      <c r="AD136" s="368" t="s">
        <v>515</v>
      </c>
      <c r="AE136" s="368">
        <v>532</v>
      </c>
      <c r="AF136" s="368" t="s">
        <v>515</v>
      </c>
      <c r="AG136" s="368">
        <v>683</v>
      </c>
      <c r="AH136" s="368" t="s">
        <v>515</v>
      </c>
      <c r="AI136" s="368">
        <v>1039</v>
      </c>
      <c r="AJ136" s="368" t="s">
        <v>515</v>
      </c>
      <c r="AK136" s="368">
        <v>797</v>
      </c>
      <c r="AL136" s="368" t="s">
        <v>515</v>
      </c>
      <c r="AM136" s="368">
        <f>SUM(O136:AK136)</f>
        <v>8112</v>
      </c>
    </row>
    <row r="137" spans="1:39" s="90" customFormat="1" ht="18" customHeight="1" x14ac:dyDescent="0.3">
      <c r="A137" s="431">
        <v>64</v>
      </c>
      <c r="B137" s="422" t="s">
        <v>642</v>
      </c>
      <c r="C137" s="11" t="s">
        <v>512</v>
      </c>
      <c r="D137" s="156" t="s">
        <v>516</v>
      </c>
      <c r="E137" s="31" t="s">
        <v>364</v>
      </c>
      <c r="F137" s="23" t="s">
        <v>49</v>
      </c>
      <c r="G137" s="374"/>
      <c r="H137" s="133"/>
      <c r="I137" s="156"/>
      <c r="J137" s="133"/>
      <c r="K137" s="330" t="s">
        <v>218</v>
      </c>
      <c r="L137" s="330" t="s">
        <v>218</v>
      </c>
      <c r="M137" s="24">
        <v>32130</v>
      </c>
      <c r="N137" s="330">
        <v>32820</v>
      </c>
      <c r="O137" s="368">
        <v>2940</v>
      </c>
      <c r="P137" s="368" t="s">
        <v>515</v>
      </c>
      <c r="Q137" s="368">
        <v>2890</v>
      </c>
      <c r="R137" s="368" t="s">
        <v>515</v>
      </c>
      <c r="S137" s="368">
        <v>2570</v>
      </c>
      <c r="T137" s="368" t="s">
        <v>515</v>
      </c>
      <c r="U137" s="368">
        <v>2960</v>
      </c>
      <c r="V137" s="368" t="s">
        <v>515</v>
      </c>
      <c r="W137" s="368">
        <v>2570</v>
      </c>
      <c r="X137" s="368" t="s">
        <v>515</v>
      </c>
      <c r="Y137" s="368">
        <v>2580</v>
      </c>
      <c r="Z137" s="368" t="s">
        <v>515</v>
      </c>
      <c r="AA137" s="368">
        <v>2100</v>
      </c>
      <c r="AB137" s="368" t="s">
        <v>515</v>
      </c>
      <c r="AC137" s="368">
        <v>2320</v>
      </c>
      <c r="AD137" s="368" t="s">
        <v>515</v>
      </c>
      <c r="AE137" s="368">
        <v>2610</v>
      </c>
      <c r="AF137" s="368" t="s">
        <v>515</v>
      </c>
      <c r="AG137" s="368">
        <v>2540</v>
      </c>
      <c r="AH137" s="368" t="s">
        <v>515</v>
      </c>
      <c r="AI137" s="368">
        <v>2460</v>
      </c>
      <c r="AJ137" s="368" t="s">
        <v>515</v>
      </c>
      <c r="AK137" s="368">
        <v>2770</v>
      </c>
      <c r="AL137" s="368" t="s">
        <v>515</v>
      </c>
      <c r="AM137" s="368">
        <f>SUM(O137:AK137)</f>
        <v>31310</v>
      </c>
    </row>
    <row r="138" spans="1:39" s="90" customFormat="1" ht="18" customHeight="1" x14ac:dyDescent="0.3">
      <c r="A138" s="432"/>
      <c r="B138" s="423"/>
      <c r="C138" s="12"/>
      <c r="D138" s="156"/>
      <c r="E138" s="31" t="s">
        <v>48</v>
      </c>
      <c r="F138" s="23" t="s">
        <v>49</v>
      </c>
      <c r="G138" s="374" t="s">
        <v>527</v>
      </c>
      <c r="H138" s="133">
        <v>214</v>
      </c>
      <c r="I138" s="156"/>
      <c r="J138" s="133"/>
      <c r="K138" s="330" t="s">
        <v>218</v>
      </c>
      <c r="L138" s="330" t="s">
        <v>218</v>
      </c>
      <c r="M138" s="24">
        <v>23210</v>
      </c>
      <c r="N138" s="330">
        <v>22542</v>
      </c>
      <c r="O138" s="368">
        <v>2482</v>
      </c>
      <c r="P138" s="368" t="s">
        <v>515</v>
      </c>
      <c r="Q138" s="368">
        <v>2395</v>
      </c>
      <c r="R138" s="368" t="s">
        <v>515</v>
      </c>
      <c r="S138" s="368">
        <v>1849</v>
      </c>
      <c r="T138" s="368" t="s">
        <v>515</v>
      </c>
      <c r="U138" s="368">
        <v>1974</v>
      </c>
      <c r="V138" s="368" t="s">
        <v>515</v>
      </c>
      <c r="W138" s="368">
        <v>1506</v>
      </c>
      <c r="X138" s="368" t="s">
        <v>515</v>
      </c>
      <c r="Y138" s="368">
        <v>1694</v>
      </c>
      <c r="Z138" s="368" t="s">
        <v>515</v>
      </c>
      <c r="AA138" s="368">
        <v>1449</v>
      </c>
      <c r="AB138" s="368" t="s">
        <v>515</v>
      </c>
      <c r="AC138" s="368">
        <v>1492</v>
      </c>
      <c r="AD138" s="368" t="s">
        <v>515</v>
      </c>
      <c r="AE138" s="368">
        <v>1630</v>
      </c>
      <c r="AF138" s="368" t="s">
        <v>515</v>
      </c>
      <c r="AG138" s="368">
        <v>1894</v>
      </c>
      <c r="AH138" s="368" t="s">
        <v>515</v>
      </c>
      <c r="AI138" s="368">
        <v>2021</v>
      </c>
      <c r="AJ138" s="368" t="s">
        <v>515</v>
      </c>
      <c r="AK138" s="368">
        <v>2277</v>
      </c>
      <c r="AL138" s="368" t="s">
        <v>515</v>
      </c>
      <c r="AM138" s="368">
        <f>SUM(O138:AK138)</f>
        <v>22663</v>
      </c>
    </row>
    <row r="139" spans="1:39" s="90" customFormat="1" ht="18" customHeight="1" x14ac:dyDescent="0.3">
      <c r="A139" s="431">
        <v>65</v>
      </c>
      <c r="B139" s="422" t="s">
        <v>643</v>
      </c>
      <c r="C139" s="11" t="s">
        <v>512</v>
      </c>
      <c r="D139" s="156" t="s">
        <v>516</v>
      </c>
      <c r="E139" s="31" t="s">
        <v>364</v>
      </c>
      <c r="F139" s="23" t="s">
        <v>49</v>
      </c>
      <c r="G139" s="374"/>
      <c r="H139" s="133"/>
      <c r="I139" s="156"/>
      <c r="J139" s="133"/>
      <c r="K139" s="330"/>
      <c r="L139" s="330"/>
      <c r="M139" s="24"/>
      <c r="N139" s="330"/>
      <c r="O139" s="368"/>
      <c r="P139" s="368"/>
      <c r="Q139" s="368"/>
      <c r="R139" s="368"/>
      <c r="S139" s="368"/>
      <c r="T139" s="368"/>
      <c r="U139" s="368"/>
      <c r="V139" s="368"/>
      <c r="W139" s="368"/>
      <c r="X139" s="368"/>
      <c r="Y139" s="368"/>
      <c r="Z139" s="368"/>
      <c r="AA139" s="368"/>
      <c r="AB139" s="368"/>
      <c r="AC139" s="368"/>
      <c r="AD139" s="368"/>
      <c r="AE139" s="368"/>
      <c r="AF139" s="368"/>
      <c r="AG139" s="368"/>
      <c r="AH139" s="368"/>
      <c r="AI139" s="368"/>
      <c r="AJ139" s="368"/>
      <c r="AK139" s="368"/>
      <c r="AL139" s="368"/>
      <c r="AM139" s="368"/>
    </row>
    <row r="140" spans="1:39" s="90" customFormat="1" ht="18" customHeight="1" x14ac:dyDescent="0.3">
      <c r="A140" s="432"/>
      <c r="B140" s="423"/>
      <c r="C140" s="12"/>
      <c r="D140" s="156"/>
      <c r="E140" s="31" t="s">
        <v>48</v>
      </c>
      <c r="F140" s="23" t="s">
        <v>49</v>
      </c>
      <c r="G140" s="374" t="s">
        <v>518</v>
      </c>
      <c r="H140" s="133">
        <v>90</v>
      </c>
      <c r="I140" s="156"/>
      <c r="J140" s="133"/>
      <c r="K140" s="330" t="s">
        <v>218</v>
      </c>
      <c r="L140" s="330" t="s">
        <v>218</v>
      </c>
      <c r="M140" s="24">
        <v>7366</v>
      </c>
      <c r="N140" s="330">
        <v>10570</v>
      </c>
      <c r="O140" s="368">
        <v>1190</v>
      </c>
      <c r="P140" s="368" t="s">
        <v>515</v>
      </c>
      <c r="Q140" s="368">
        <v>1150</v>
      </c>
      <c r="R140" s="368" t="s">
        <v>515</v>
      </c>
      <c r="S140" s="368">
        <v>865</v>
      </c>
      <c r="T140" s="368" t="s">
        <v>515</v>
      </c>
      <c r="U140" s="368">
        <v>946</v>
      </c>
      <c r="V140" s="368" t="s">
        <v>515</v>
      </c>
      <c r="W140" s="368">
        <v>689</v>
      </c>
      <c r="X140" s="368" t="s">
        <v>515</v>
      </c>
      <c r="Y140" s="368">
        <v>437</v>
      </c>
      <c r="Z140" s="368" t="s">
        <v>515</v>
      </c>
      <c r="AA140" s="368">
        <v>541</v>
      </c>
      <c r="AB140" s="368" t="s">
        <v>515</v>
      </c>
      <c r="AC140" s="368">
        <v>638</v>
      </c>
      <c r="AD140" s="368" t="s">
        <v>515</v>
      </c>
      <c r="AE140" s="368">
        <v>838</v>
      </c>
      <c r="AF140" s="368" t="s">
        <v>515</v>
      </c>
      <c r="AG140" s="368">
        <v>766</v>
      </c>
      <c r="AH140" s="368" t="s">
        <v>515</v>
      </c>
      <c r="AI140" s="368">
        <v>839</v>
      </c>
      <c r="AJ140" s="368" t="s">
        <v>515</v>
      </c>
      <c r="AK140" s="368">
        <v>1001</v>
      </c>
      <c r="AL140" s="368" t="s">
        <v>515</v>
      </c>
      <c r="AM140" s="368">
        <f>SUM(O140:AK140)</f>
        <v>9900</v>
      </c>
    </row>
    <row r="141" spans="1:39" s="90" customFormat="1" ht="18" customHeight="1" x14ac:dyDescent="0.3">
      <c r="A141" s="431">
        <v>66</v>
      </c>
      <c r="B141" s="422" t="s">
        <v>644</v>
      </c>
      <c r="C141" s="11" t="s">
        <v>512</v>
      </c>
      <c r="D141" s="156" t="s">
        <v>516</v>
      </c>
      <c r="E141" s="31" t="s">
        <v>364</v>
      </c>
      <c r="F141" s="23" t="s">
        <v>49</v>
      </c>
      <c r="G141" s="374"/>
      <c r="H141" s="133"/>
      <c r="I141" s="156"/>
      <c r="J141" s="133"/>
      <c r="K141" s="330"/>
      <c r="L141" s="330"/>
      <c r="M141" s="24"/>
      <c r="N141" s="330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68"/>
      <c r="Z141" s="368"/>
      <c r="AA141" s="368"/>
      <c r="AB141" s="368"/>
      <c r="AC141" s="368"/>
      <c r="AD141" s="368"/>
      <c r="AE141" s="368"/>
      <c r="AF141" s="368"/>
      <c r="AG141" s="368"/>
      <c r="AH141" s="368"/>
      <c r="AI141" s="368"/>
      <c r="AJ141" s="368"/>
      <c r="AK141" s="368"/>
      <c r="AL141" s="368"/>
      <c r="AM141" s="368"/>
    </row>
    <row r="142" spans="1:39" s="90" customFormat="1" ht="18" customHeight="1" x14ac:dyDescent="0.3">
      <c r="A142" s="432"/>
      <c r="B142" s="423"/>
      <c r="C142" s="12"/>
      <c r="D142" s="156"/>
      <c r="E142" s="31" t="s">
        <v>48</v>
      </c>
      <c r="F142" s="23" t="s">
        <v>49</v>
      </c>
      <c r="G142" s="374" t="s">
        <v>521</v>
      </c>
      <c r="H142" s="133">
        <v>98</v>
      </c>
      <c r="I142" s="156"/>
      <c r="J142" s="133"/>
      <c r="K142" s="330" t="s">
        <v>218</v>
      </c>
      <c r="L142" s="330" t="s">
        <v>218</v>
      </c>
      <c r="M142" s="24">
        <v>10686</v>
      </c>
      <c r="N142" s="330">
        <v>11073</v>
      </c>
      <c r="O142" s="368">
        <v>1333</v>
      </c>
      <c r="P142" s="368" t="s">
        <v>515</v>
      </c>
      <c r="Q142" s="368">
        <v>1604</v>
      </c>
      <c r="R142" s="368" t="s">
        <v>515</v>
      </c>
      <c r="S142" s="368">
        <v>1207</v>
      </c>
      <c r="T142" s="368" t="s">
        <v>515</v>
      </c>
      <c r="U142" s="368">
        <v>1008</v>
      </c>
      <c r="V142" s="368" t="s">
        <v>515</v>
      </c>
      <c r="W142" s="368">
        <v>604</v>
      </c>
      <c r="X142" s="368" t="s">
        <v>515</v>
      </c>
      <c r="Y142" s="368">
        <v>569</v>
      </c>
      <c r="Z142" s="368" t="s">
        <v>515</v>
      </c>
      <c r="AA142" s="368">
        <v>364</v>
      </c>
      <c r="AB142" s="368" t="s">
        <v>515</v>
      </c>
      <c r="AC142" s="368">
        <v>440</v>
      </c>
      <c r="AD142" s="368" t="s">
        <v>515</v>
      </c>
      <c r="AE142" s="368">
        <v>666</v>
      </c>
      <c r="AF142" s="368" t="s">
        <v>515</v>
      </c>
      <c r="AG142" s="368">
        <v>802</v>
      </c>
      <c r="AH142" s="368" t="s">
        <v>515</v>
      </c>
      <c r="AI142" s="368">
        <v>715</v>
      </c>
      <c r="AJ142" s="368" t="s">
        <v>515</v>
      </c>
      <c r="AK142" s="368">
        <v>1098</v>
      </c>
      <c r="AL142" s="368" t="s">
        <v>515</v>
      </c>
      <c r="AM142" s="368">
        <f>SUM(O142:AK142)</f>
        <v>10410</v>
      </c>
    </row>
    <row r="143" spans="1:39" s="90" customFormat="1" ht="18" customHeight="1" x14ac:dyDescent="0.3">
      <c r="A143" s="431">
        <v>67</v>
      </c>
      <c r="B143" s="422" t="s">
        <v>645</v>
      </c>
      <c r="C143" s="11" t="s">
        <v>512</v>
      </c>
      <c r="D143" s="156" t="s">
        <v>516</v>
      </c>
      <c r="E143" s="31" t="s">
        <v>364</v>
      </c>
      <c r="F143" s="23" t="s">
        <v>49</v>
      </c>
      <c r="G143" s="374"/>
      <c r="H143" s="133"/>
      <c r="I143" s="156"/>
      <c r="J143" s="133"/>
      <c r="K143" s="330" t="s">
        <v>218</v>
      </c>
      <c r="L143" s="330" t="s">
        <v>218</v>
      </c>
      <c r="M143" s="24">
        <v>0</v>
      </c>
      <c r="N143" s="330">
        <v>43845</v>
      </c>
      <c r="O143" s="368">
        <v>3510</v>
      </c>
      <c r="P143" s="368" t="s">
        <v>515</v>
      </c>
      <c r="Q143" s="368">
        <v>3405</v>
      </c>
      <c r="R143" s="368" t="s">
        <v>515</v>
      </c>
      <c r="S143" s="368">
        <v>3285</v>
      </c>
      <c r="T143" s="368" t="s">
        <v>515</v>
      </c>
      <c r="U143" s="368">
        <v>3480</v>
      </c>
      <c r="V143" s="368" t="s">
        <v>515</v>
      </c>
      <c r="W143" s="368">
        <v>3615</v>
      </c>
      <c r="X143" s="368" t="s">
        <v>515</v>
      </c>
      <c r="Y143" s="368">
        <v>3345</v>
      </c>
      <c r="Z143" s="368" t="s">
        <v>515</v>
      </c>
      <c r="AA143" s="368">
        <v>3360</v>
      </c>
      <c r="AB143" s="368" t="s">
        <v>515</v>
      </c>
      <c r="AC143" s="368">
        <v>3045</v>
      </c>
      <c r="AD143" s="368" t="s">
        <v>515</v>
      </c>
      <c r="AE143" s="368">
        <v>3675</v>
      </c>
      <c r="AF143" s="368" t="s">
        <v>515</v>
      </c>
      <c r="AG143" s="368">
        <v>1995</v>
      </c>
      <c r="AH143" s="368" t="s">
        <v>515</v>
      </c>
      <c r="AI143" s="368">
        <v>810</v>
      </c>
      <c r="AJ143" s="368" t="s">
        <v>515</v>
      </c>
      <c r="AK143" s="368">
        <v>1620</v>
      </c>
      <c r="AL143" s="368" t="s">
        <v>515</v>
      </c>
      <c r="AM143" s="368">
        <f>SUM(O143:AK143)</f>
        <v>35145</v>
      </c>
    </row>
    <row r="144" spans="1:39" s="90" customFormat="1" ht="18" customHeight="1" x14ac:dyDescent="0.3">
      <c r="A144" s="432"/>
      <c r="B144" s="423"/>
      <c r="C144" s="12"/>
      <c r="D144" s="156"/>
      <c r="E144" s="31" t="s">
        <v>48</v>
      </c>
      <c r="F144" s="23" t="s">
        <v>49</v>
      </c>
      <c r="G144" s="374" t="s">
        <v>537</v>
      </c>
      <c r="H144" s="133">
        <v>264</v>
      </c>
      <c r="I144" s="156"/>
      <c r="J144" s="133"/>
      <c r="K144" s="330" t="s">
        <v>218</v>
      </c>
      <c r="L144" s="330" t="s">
        <v>218</v>
      </c>
      <c r="M144" s="24">
        <v>0</v>
      </c>
      <c r="N144" s="330">
        <v>20151</v>
      </c>
      <c r="O144" s="368">
        <v>1954</v>
      </c>
      <c r="P144" s="368" t="s">
        <v>515</v>
      </c>
      <c r="Q144" s="368">
        <v>1658</v>
      </c>
      <c r="R144" s="368" t="s">
        <v>515</v>
      </c>
      <c r="S144" s="368">
        <v>1453</v>
      </c>
      <c r="T144" s="368" t="s">
        <v>515</v>
      </c>
      <c r="U144" s="368">
        <v>1367</v>
      </c>
      <c r="V144" s="368" t="s">
        <v>515</v>
      </c>
      <c r="W144" s="368">
        <v>1258</v>
      </c>
      <c r="X144" s="368" t="s">
        <v>515</v>
      </c>
      <c r="Y144" s="368">
        <v>1322</v>
      </c>
      <c r="Z144" s="368" t="s">
        <v>515</v>
      </c>
      <c r="AA144" s="368">
        <v>1039</v>
      </c>
      <c r="AB144" s="368" t="s">
        <v>515</v>
      </c>
      <c r="AC144" s="368">
        <v>1118</v>
      </c>
      <c r="AD144" s="368" t="s">
        <v>515</v>
      </c>
      <c r="AE144" s="368">
        <v>1445</v>
      </c>
      <c r="AF144" s="368" t="s">
        <v>515</v>
      </c>
      <c r="AG144" s="368">
        <v>1899</v>
      </c>
      <c r="AH144" s="368" t="s">
        <v>515</v>
      </c>
      <c r="AI144" s="368">
        <v>2748</v>
      </c>
      <c r="AJ144" s="368" t="s">
        <v>515</v>
      </c>
      <c r="AK144" s="368">
        <v>1802</v>
      </c>
      <c r="AL144" s="368" t="s">
        <v>515</v>
      </c>
      <c r="AM144" s="368">
        <f>SUM(O144:AK144)</f>
        <v>19063</v>
      </c>
    </row>
    <row r="145" spans="1:39" s="90" customFormat="1" ht="18" customHeight="1" x14ac:dyDescent="0.3">
      <c r="A145" s="431">
        <v>68</v>
      </c>
      <c r="B145" s="422" t="s">
        <v>646</v>
      </c>
      <c r="C145" s="11" t="s">
        <v>512</v>
      </c>
      <c r="D145" s="156" t="s">
        <v>516</v>
      </c>
      <c r="E145" s="31" t="s">
        <v>364</v>
      </c>
      <c r="F145" s="23" t="s">
        <v>49</v>
      </c>
      <c r="G145" s="374"/>
      <c r="H145" s="133"/>
      <c r="I145" s="156"/>
      <c r="J145" s="133"/>
      <c r="K145" s="330"/>
      <c r="L145" s="330"/>
      <c r="M145" s="24"/>
      <c r="N145" s="330"/>
      <c r="O145" s="368"/>
      <c r="P145" s="368"/>
      <c r="Q145" s="368"/>
      <c r="R145" s="368"/>
      <c r="S145" s="368"/>
      <c r="T145" s="368"/>
      <c r="U145" s="368"/>
      <c r="V145" s="368"/>
      <c r="W145" s="368"/>
      <c r="X145" s="368"/>
      <c r="Y145" s="368"/>
      <c r="Z145" s="368"/>
      <c r="AA145" s="368"/>
      <c r="AB145" s="368"/>
      <c r="AC145" s="368"/>
      <c r="AD145" s="368"/>
      <c r="AE145" s="368"/>
      <c r="AF145" s="368"/>
      <c r="AG145" s="368"/>
      <c r="AH145" s="368"/>
      <c r="AI145" s="368"/>
      <c r="AJ145" s="368"/>
      <c r="AK145" s="368"/>
      <c r="AL145" s="368"/>
      <c r="AM145" s="368"/>
    </row>
    <row r="146" spans="1:39" s="90" customFormat="1" ht="18" customHeight="1" x14ac:dyDescent="0.3">
      <c r="A146" s="432"/>
      <c r="B146" s="423"/>
      <c r="C146" s="12"/>
      <c r="D146" s="156"/>
      <c r="E146" s="31" t="s">
        <v>48</v>
      </c>
      <c r="F146" s="23" t="s">
        <v>49</v>
      </c>
      <c r="G146" s="374" t="s">
        <v>518</v>
      </c>
      <c r="H146" s="133">
        <v>84</v>
      </c>
      <c r="I146" s="156"/>
      <c r="J146" s="133"/>
      <c r="K146" s="330" t="s">
        <v>218</v>
      </c>
      <c r="L146" s="330" t="s">
        <v>218</v>
      </c>
      <c r="M146" s="24">
        <v>0</v>
      </c>
      <c r="N146" s="330">
        <v>6809</v>
      </c>
      <c r="O146" s="368">
        <v>757</v>
      </c>
      <c r="P146" s="368" t="s">
        <v>515</v>
      </c>
      <c r="Q146" s="368">
        <v>603</v>
      </c>
      <c r="R146" s="368" t="s">
        <v>515</v>
      </c>
      <c r="S146" s="368">
        <v>560</v>
      </c>
      <c r="T146" s="368" t="s">
        <v>515</v>
      </c>
      <c r="U146" s="368">
        <v>408</v>
      </c>
      <c r="V146" s="368" t="s">
        <v>515</v>
      </c>
      <c r="W146" s="368">
        <v>403</v>
      </c>
      <c r="X146" s="368" t="s">
        <v>515</v>
      </c>
      <c r="Y146" s="368">
        <v>343</v>
      </c>
      <c r="Z146" s="368" t="s">
        <v>515</v>
      </c>
      <c r="AA146" s="368">
        <v>352</v>
      </c>
      <c r="AB146" s="368" t="s">
        <v>515</v>
      </c>
      <c r="AC146" s="368">
        <v>344</v>
      </c>
      <c r="AD146" s="368" t="s">
        <v>515</v>
      </c>
      <c r="AE146" s="368">
        <v>535</v>
      </c>
      <c r="AF146" s="368" t="s">
        <v>515</v>
      </c>
      <c r="AG146" s="368">
        <v>503</v>
      </c>
      <c r="AH146" s="368" t="s">
        <v>515</v>
      </c>
      <c r="AI146" s="368">
        <v>535</v>
      </c>
      <c r="AJ146" s="368" t="s">
        <v>515</v>
      </c>
      <c r="AK146" s="368">
        <v>705</v>
      </c>
      <c r="AL146" s="368" t="s">
        <v>515</v>
      </c>
      <c r="AM146" s="368">
        <f>SUM(O146:AK146)</f>
        <v>6048</v>
      </c>
    </row>
    <row r="147" spans="1:39" s="90" customFormat="1" ht="18" customHeight="1" x14ac:dyDescent="0.3">
      <c r="A147" s="431">
        <v>69</v>
      </c>
      <c r="B147" s="422" t="s">
        <v>647</v>
      </c>
      <c r="C147" s="11" t="s">
        <v>512</v>
      </c>
      <c r="D147" s="156" t="s">
        <v>516</v>
      </c>
      <c r="E147" s="31" t="s">
        <v>364</v>
      </c>
      <c r="F147" s="23" t="s">
        <v>49</v>
      </c>
      <c r="G147" s="374"/>
      <c r="H147" s="133"/>
      <c r="I147" s="156"/>
      <c r="J147" s="133"/>
      <c r="K147" s="330"/>
      <c r="L147" s="330"/>
      <c r="M147" s="24"/>
      <c r="N147" s="330"/>
      <c r="O147" s="368"/>
      <c r="P147" s="368"/>
      <c r="Q147" s="368"/>
      <c r="R147" s="368"/>
      <c r="S147" s="368"/>
      <c r="T147" s="368"/>
      <c r="U147" s="368"/>
      <c r="V147" s="368"/>
      <c r="W147" s="368"/>
      <c r="X147" s="368"/>
      <c r="Y147" s="368"/>
      <c r="Z147" s="368"/>
      <c r="AA147" s="368"/>
      <c r="AB147" s="368"/>
      <c r="AC147" s="368"/>
      <c r="AD147" s="368"/>
      <c r="AE147" s="368"/>
      <c r="AF147" s="368"/>
      <c r="AG147" s="368"/>
      <c r="AH147" s="368"/>
      <c r="AI147" s="368"/>
      <c r="AJ147" s="368"/>
      <c r="AK147" s="368"/>
      <c r="AL147" s="368"/>
      <c r="AM147" s="368"/>
    </row>
    <row r="148" spans="1:39" s="90" customFormat="1" ht="18" customHeight="1" x14ac:dyDescent="0.3">
      <c r="A148" s="432"/>
      <c r="B148" s="423"/>
      <c r="C148" s="12"/>
      <c r="D148" s="156"/>
      <c r="E148" s="31" t="s">
        <v>48</v>
      </c>
      <c r="F148" s="23" t="s">
        <v>49</v>
      </c>
      <c r="G148" s="374" t="s">
        <v>518</v>
      </c>
      <c r="H148" s="133">
        <v>84</v>
      </c>
      <c r="I148" s="156"/>
      <c r="J148" s="133"/>
      <c r="K148" s="330" t="s">
        <v>218</v>
      </c>
      <c r="L148" s="330" t="s">
        <v>218</v>
      </c>
      <c r="M148" s="24">
        <v>0</v>
      </c>
      <c r="N148" s="330">
        <v>7498</v>
      </c>
      <c r="O148" s="368">
        <v>765</v>
      </c>
      <c r="P148" s="368" t="s">
        <v>515</v>
      </c>
      <c r="Q148" s="368">
        <v>597</v>
      </c>
      <c r="R148" s="368" t="s">
        <v>515</v>
      </c>
      <c r="S148" s="368">
        <v>498</v>
      </c>
      <c r="T148" s="368" t="s">
        <v>515</v>
      </c>
      <c r="U148" s="368">
        <v>441</v>
      </c>
      <c r="V148" s="368" t="s">
        <v>515</v>
      </c>
      <c r="W148" s="368">
        <v>446</v>
      </c>
      <c r="X148" s="368" t="s">
        <v>515</v>
      </c>
      <c r="Y148" s="368">
        <v>301</v>
      </c>
      <c r="Z148" s="368" t="s">
        <v>515</v>
      </c>
      <c r="AA148" s="368">
        <v>269</v>
      </c>
      <c r="AB148" s="368" t="s">
        <v>515</v>
      </c>
      <c r="AC148" s="368">
        <v>345</v>
      </c>
      <c r="AD148" s="368" t="s">
        <v>515</v>
      </c>
      <c r="AE148" s="368">
        <v>424</v>
      </c>
      <c r="AF148" s="368" t="s">
        <v>515</v>
      </c>
      <c r="AG148" s="368">
        <v>369</v>
      </c>
      <c r="AH148" s="368" t="s">
        <v>515</v>
      </c>
      <c r="AI148" s="368">
        <v>328</v>
      </c>
      <c r="AJ148" s="368" t="s">
        <v>515</v>
      </c>
      <c r="AK148" s="368">
        <v>273</v>
      </c>
      <c r="AL148" s="368" t="s">
        <v>515</v>
      </c>
      <c r="AM148" s="368">
        <f>SUM(O148:AK148)</f>
        <v>5056</v>
      </c>
    </row>
    <row r="149" spans="1:39" s="90" customFormat="1" ht="18" customHeight="1" x14ac:dyDescent="0.3">
      <c r="A149" s="431">
        <v>70</v>
      </c>
      <c r="B149" s="422" t="s">
        <v>648</v>
      </c>
      <c r="C149" s="11" t="s">
        <v>512</v>
      </c>
      <c r="D149" s="156" t="s">
        <v>516</v>
      </c>
      <c r="E149" s="31" t="s">
        <v>364</v>
      </c>
      <c r="F149" s="23" t="s">
        <v>49</v>
      </c>
      <c r="G149" s="374"/>
      <c r="H149" s="133"/>
      <c r="I149" s="156"/>
      <c r="J149" s="133"/>
      <c r="K149" s="330"/>
      <c r="L149" s="330"/>
      <c r="M149" s="24"/>
      <c r="N149" s="330"/>
      <c r="O149" s="368"/>
      <c r="P149" s="368"/>
      <c r="Q149" s="368"/>
      <c r="R149" s="368"/>
      <c r="S149" s="368"/>
      <c r="T149" s="368"/>
      <c r="U149" s="368"/>
      <c r="V149" s="368"/>
      <c r="W149" s="368"/>
      <c r="X149" s="368"/>
      <c r="Y149" s="368"/>
      <c r="Z149" s="368"/>
      <c r="AA149" s="368"/>
      <c r="AB149" s="368"/>
      <c r="AC149" s="368"/>
      <c r="AD149" s="368"/>
      <c r="AE149" s="368"/>
      <c r="AF149" s="368"/>
      <c r="AG149" s="368"/>
      <c r="AH149" s="368"/>
      <c r="AI149" s="368"/>
      <c r="AJ149" s="368"/>
      <c r="AK149" s="368"/>
      <c r="AL149" s="368"/>
      <c r="AM149" s="368"/>
    </row>
    <row r="150" spans="1:39" s="90" customFormat="1" ht="18" customHeight="1" x14ac:dyDescent="0.3">
      <c r="A150" s="432"/>
      <c r="B150" s="423"/>
      <c r="C150" s="12"/>
      <c r="D150" s="156"/>
      <c r="E150" s="31" t="s">
        <v>48</v>
      </c>
      <c r="F150" s="23" t="s">
        <v>49</v>
      </c>
      <c r="G150" s="374" t="s">
        <v>535</v>
      </c>
      <c r="H150" s="133">
        <v>96</v>
      </c>
      <c r="I150" s="156"/>
      <c r="J150" s="133"/>
      <c r="K150" s="330" t="s">
        <v>218</v>
      </c>
      <c r="L150" s="330" t="s">
        <v>218</v>
      </c>
      <c r="M150" s="24">
        <v>11444</v>
      </c>
      <c r="N150" s="330">
        <v>15399</v>
      </c>
      <c r="O150" s="368">
        <v>1759</v>
      </c>
      <c r="P150" s="368" t="s">
        <v>515</v>
      </c>
      <c r="Q150" s="368">
        <v>1780</v>
      </c>
      <c r="R150" s="368" t="s">
        <v>515</v>
      </c>
      <c r="S150" s="368">
        <v>1458</v>
      </c>
      <c r="T150" s="368" t="s">
        <v>515</v>
      </c>
      <c r="U150" s="368">
        <v>1546</v>
      </c>
      <c r="V150" s="368" t="s">
        <v>515</v>
      </c>
      <c r="W150" s="368">
        <v>841</v>
      </c>
      <c r="X150" s="368" t="s">
        <v>515</v>
      </c>
      <c r="Y150" s="368">
        <v>696</v>
      </c>
      <c r="Z150" s="368" t="s">
        <v>515</v>
      </c>
      <c r="AA150" s="368">
        <v>686</v>
      </c>
      <c r="AB150" s="368" t="s">
        <v>515</v>
      </c>
      <c r="AC150" s="368">
        <v>728</v>
      </c>
      <c r="AD150" s="368" t="s">
        <v>515</v>
      </c>
      <c r="AE150" s="368">
        <v>718</v>
      </c>
      <c r="AF150" s="368" t="s">
        <v>515</v>
      </c>
      <c r="AG150" s="368">
        <v>723</v>
      </c>
      <c r="AH150" s="368" t="s">
        <v>515</v>
      </c>
      <c r="AI150" s="368">
        <v>978</v>
      </c>
      <c r="AJ150" s="368" t="s">
        <v>515</v>
      </c>
      <c r="AK150" s="368">
        <v>1030</v>
      </c>
      <c r="AL150" s="368" t="s">
        <v>515</v>
      </c>
      <c r="AM150" s="368">
        <f>SUM(O150:AK150)</f>
        <v>12943</v>
      </c>
    </row>
    <row r="151" spans="1:39" s="90" customFormat="1" ht="18" customHeight="1" x14ac:dyDescent="0.3">
      <c r="A151" s="431">
        <v>71</v>
      </c>
      <c r="B151" s="422" t="s">
        <v>649</v>
      </c>
      <c r="C151" s="11" t="s">
        <v>512</v>
      </c>
      <c r="D151" s="156" t="s">
        <v>516</v>
      </c>
      <c r="E151" s="31" t="s">
        <v>364</v>
      </c>
      <c r="F151" s="23" t="s">
        <v>49</v>
      </c>
      <c r="G151" s="374"/>
      <c r="H151" s="133"/>
      <c r="I151" s="156"/>
      <c r="J151" s="133"/>
      <c r="K151" s="330"/>
      <c r="L151" s="330"/>
      <c r="M151" s="24"/>
      <c r="N151" s="330"/>
      <c r="O151" s="368"/>
      <c r="P151" s="368"/>
      <c r="Q151" s="368"/>
      <c r="R151" s="368"/>
      <c r="S151" s="368"/>
      <c r="T151" s="368"/>
      <c r="U151" s="368"/>
      <c r="V151" s="368"/>
      <c r="W151" s="368"/>
      <c r="X151" s="368"/>
      <c r="Y151" s="368"/>
      <c r="Z151" s="368"/>
      <c r="AA151" s="368"/>
      <c r="AB151" s="368"/>
      <c r="AC151" s="368"/>
      <c r="AD151" s="368"/>
      <c r="AE151" s="368"/>
      <c r="AF151" s="368"/>
      <c r="AG151" s="368"/>
      <c r="AH151" s="368"/>
      <c r="AI151" s="368"/>
      <c r="AJ151" s="368"/>
      <c r="AK151" s="368"/>
      <c r="AL151" s="368"/>
      <c r="AM151" s="368"/>
    </row>
    <row r="152" spans="1:39" s="90" customFormat="1" ht="18" customHeight="1" x14ac:dyDescent="0.3">
      <c r="A152" s="432"/>
      <c r="B152" s="423"/>
      <c r="C152" s="12"/>
      <c r="D152" s="156"/>
      <c r="E152" s="31" t="s">
        <v>48</v>
      </c>
      <c r="F152" s="23" t="s">
        <v>49</v>
      </c>
      <c r="G152" s="374" t="s">
        <v>518</v>
      </c>
      <c r="H152" s="133">
        <v>96</v>
      </c>
      <c r="I152" s="156"/>
      <c r="J152" s="133"/>
      <c r="K152" s="330" t="s">
        <v>218</v>
      </c>
      <c r="L152" s="330" t="s">
        <v>218</v>
      </c>
      <c r="M152" s="24">
        <v>11879</v>
      </c>
      <c r="N152" s="330">
        <v>13168</v>
      </c>
      <c r="O152" s="368">
        <v>1631</v>
      </c>
      <c r="P152" s="368" t="s">
        <v>515</v>
      </c>
      <c r="Q152" s="368">
        <v>1460</v>
      </c>
      <c r="R152" s="368" t="s">
        <v>515</v>
      </c>
      <c r="S152" s="368">
        <v>1172</v>
      </c>
      <c r="T152" s="368" t="s">
        <v>515</v>
      </c>
      <c r="U152" s="368">
        <v>1372</v>
      </c>
      <c r="V152" s="368" t="s">
        <v>515</v>
      </c>
      <c r="W152" s="368">
        <v>996</v>
      </c>
      <c r="X152" s="368" t="s">
        <v>515</v>
      </c>
      <c r="Y152" s="368">
        <v>931</v>
      </c>
      <c r="Z152" s="368" t="s">
        <v>515</v>
      </c>
      <c r="AA152" s="368">
        <v>807</v>
      </c>
      <c r="AB152" s="368" t="s">
        <v>515</v>
      </c>
      <c r="AC152" s="368">
        <v>730</v>
      </c>
      <c r="AD152" s="368" t="s">
        <v>515</v>
      </c>
      <c r="AE152" s="368">
        <v>938</v>
      </c>
      <c r="AF152" s="368" t="s">
        <v>515</v>
      </c>
      <c r="AG152" s="368">
        <v>1221</v>
      </c>
      <c r="AH152" s="368" t="s">
        <v>515</v>
      </c>
      <c r="AI152" s="368">
        <v>1288</v>
      </c>
      <c r="AJ152" s="368" t="s">
        <v>515</v>
      </c>
      <c r="AK152" s="368">
        <v>1335</v>
      </c>
      <c r="AL152" s="368" t="s">
        <v>515</v>
      </c>
      <c r="AM152" s="368">
        <f>SUM(O152:AK152)</f>
        <v>13881</v>
      </c>
    </row>
    <row r="153" spans="1:39" s="90" customFormat="1" ht="18" customHeight="1" x14ac:dyDescent="0.3">
      <c r="A153" s="431">
        <v>72</v>
      </c>
      <c r="B153" s="422" t="s">
        <v>650</v>
      </c>
      <c r="C153" s="11" t="s">
        <v>512</v>
      </c>
      <c r="D153" s="156" t="s">
        <v>538</v>
      </c>
      <c r="E153" s="31" t="s">
        <v>364</v>
      </c>
      <c r="F153" s="23" t="s">
        <v>49</v>
      </c>
      <c r="G153" s="374"/>
      <c r="H153" s="133"/>
      <c r="I153" s="156"/>
      <c r="J153" s="133"/>
      <c r="K153" s="330" t="s">
        <v>218</v>
      </c>
      <c r="L153" s="330" t="s">
        <v>218</v>
      </c>
      <c r="M153" s="24">
        <v>13357</v>
      </c>
      <c r="N153" s="330">
        <v>13789</v>
      </c>
      <c r="O153" s="368">
        <v>1331</v>
      </c>
      <c r="P153" s="368" t="s">
        <v>515</v>
      </c>
      <c r="Q153" s="368">
        <v>1144</v>
      </c>
      <c r="R153" s="368" t="s">
        <v>515</v>
      </c>
      <c r="S153" s="368">
        <v>1105</v>
      </c>
      <c r="T153" s="368" t="s">
        <v>515</v>
      </c>
      <c r="U153" s="368">
        <v>1289</v>
      </c>
      <c r="V153" s="368" t="s">
        <v>515</v>
      </c>
      <c r="W153" s="368">
        <v>1369</v>
      </c>
      <c r="X153" s="368" t="s">
        <v>515</v>
      </c>
      <c r="Y153" s="368">
        <v>1235</v>
      </c>
      <c r="Z153" s="368" t="s">
        <v>515</v>
      </c>
      <c r="AA153" s="368">
        <v>1254</v>
      </c>
      <c r="AB153" s="368" t="s">
        <v>515</v>
      </c>
      <c r="AC153" s="368">
        <v>1125</v>
      </c>
      <c r="AD153" s="368" t="s">
        <v>515</v>
      </c>
      <c r="AE153" s="368">
        <v>1357</v>
      </c>
      <c r="AF153" s="368" t="s">
        <v>515</v>
      </c>
      <c r="AG153" s="368">
        <v>1211</v>
      </c>
      <c r="AH153" s="368" t="s">
        <v>515</v>
      </c>
      <c r="AI153" s="368">
        <v>1205</v>
      </c>
      <c r="AJ153" s="368" t="s">
        <v>515</v>
      </c>
      <c r="AK153" s="368">
        <v>1237</v>
      </c>
      <c r="AL153" s="368" t="s">
        <v>515</v>
      </c>
      <c r="AM153" s="368">
        <f>SUM(O153:AK153)</f>
        <v>14862</v>
      </c>
    </row>
    <row r="154" spans="1:39" s="90" customFormat="1" ht="18" customHeight="1" x14ac:dyDescent="0.3">
      <c r="A154" s="432"/>
      <c r="B154" s="423"/>
      <c r="C154" s="12"/>
      <c r="D154" s="156"/>
      <c r="E154" s="31" t="s">
        <v>48</v>
      </c>
      <c r="F154" s="23" t="s">
        <v>49</v>
      </c>
      <c r="G154" s="374" t="s">
        <v>518</v>
      </c>
      <c r="H154" s="133">
        <v>144</v>
      </c>
      <c r="I154" s="156"/>
      <c r="J154" s="133"/>
      <c r="K154" s="330" t="s">
        <v>218</v>
      </c>
      <c r="L154" s="330" t="s">
        <v>218</v>
      </c>
      <c r="M154" s="24">
        <v>19035</v>
      </c>
      <c r="N154" s="330">
        <v>14992</v>
      </c>
      <c r="O154" s="368">
        <v>1710</v>
      </c>
      <c r="P154" s="368" t="s">
        <v>515</v>
      </c>
      <c r="Q154" s="368">
        <v>1480</v>
      </c>
      <c r="R154" s="368" t="s">
        <v>515</v>
      </c>
      <c r="S154" s="368">
        <v>1507</v>
      </c>
      <c r="T154" s="368" t="s">
        <v>515</v>
      </c>
      <c r="U154" s="368">
        <v>1109</v>
      </c>
      <c r="V154" s="368" t="s">
        <v>515</v>
      </c>
      <c r="W154" s="368">
        <v>839</v>
      </c>
      <c r="X154" s="368" t="s">
        <v>515</v>
      </c>
      <c r="Y154" s="368">
        <v>571</v>
      </c>
      <c r="Z154" s="368" t="s">
        <v>515</v>
      </c>
      <c r="AA154" s="368">
        <v>498</v>
      </c>
      <c r="AB154" s="368" t="s">
        <v>515</v>
      </c>
      <c r="AC154" s="368">
        <v>584</v>
      </c>
      <c r="AD154" s="368" t="s">
        <v>515</v>
      </c>
      <c r="AE154" s="368">
        <v>829</v>
      </c>
      <c r="AF154" s="368" t="s">
        <v>515</v>
      </c>
      <c r="AG154" s="368">
        <v>1135</v>
      </c>
      <c r="AH154" s="368" t="s">
        <v>515</v>
      </c>
      <c r="AI154" s="368">
        <v>1379</v>
      </c>
      <c r="AJ154" s="368" t="s">
        <v>515</v>
      </c>
      <c r="AK154" s="368">
        <v>1735</v>
      </c>
      <c r="AL154" s="368" t="s">
        <v>515</v>
      </c>
      <c r="AM154" s="368">
        <f>SUM(O154:AK154)</f>
        <v>13376</v>
      </c>
    </row>
    <row r="155" spans="1:39" s="90" customFormat="1" ht="18" customHeight="1" x14ac:dyDescent="0.3">
      <c r="A155" s="431">
        <v>73</v>
      </c>
      <c r="B155" s="422" t="s">
        <v>651</v>
      </c>
      <c r="C155" s="11" t="s">
        <v>512</v>
      </c>
      <c r="D155" s="156" t="s">
        <v>516</v>
      </c>
      <c r="E155" s="31" t="s">
        <v>364</v>
      </c>
      <c r="F155" s="23" t="s">
        <v>49</v>
      </c>
      <c r="G155" s="374"/>
      <c r="H155" s="133"/>
      <c r="I155" s="156"/>
      <c r="J155" s="133"/>
      <c r="K155" s="330"/>
      <c r="L155" s="330"/>
      <c r="M155" s="24"/>
      <c r="N155" s="330"/>
      <c r="O155" s="368"/>
      <c r="P155" s="368"/>
      <c r="Q155" s="368"/>
      <c r="R155" s="368"/>
      <c r="S155" s="368"/>
      <c r="T155" s="368"/>
      <c r="U155" s="368"/>
      <c r="V155" s="368"/>
      <c r="W155" s="368"/>
      <c r="X155" s="368"/>
      <c r="Y155" s="368"/>
      <c r="Z155" s="368"/>
      <c r="AA155" s="368"/>
      <c r="AB155" s="368"/>
      <c r="AC155" s="368"/>
      <c r="AD155" s="368"/>
      <c r="AE155" s="368"/>
      <c r="AF155" s="368"/>
      <c r="AG155" s="368"/>
      <c r="AH155" s="368"/>
      <c r="AI155" s="368"/>
      <c r="AJ155" s="368"/>
      <c r="AK155" s="368"/>
      <c r="AL155" s="368"/>
      <c r="AM155" s="368"/>
    </row>
    <row r="156" spans="1:39" s="90" customFormat="1" ht="18" customHeight="1" x14ac:dyDescent="0.3">
      <c r="A156" s="432"/>
      <c r="B156" s="423"/>
      <c r="C156" s="12"/>
      <c r="D156" s="156"/>
      <c r="E156" s="31" t="s">
        <v>48</v>
      </c>
      <c r="F156" s="23" t="s">
        <v>49</v>
      </c>
      <c r="G156" s="374" t="s">
        <v>539</v>
      </c>
      <c r="H156" s="133">
        <v>60</v>
      </c>
      <c r="I156" s="156"/>
      <c r="J156" s="133"/>
      <c r="K156" s="330" t="s">
        <v>218</v>
      </c>
      <c r="L156" s="330" t="s">
        <v>218</v>
      </c>
      <c r="M156" s="24">
        <v>6476</v>
      </c>
      <c r="N156" s="330">
        <v>7900</v>
      </c>
      <c r="O156" s="368">
        <v>983</v>
      </c>
      <c r="P156" s="368" t="s">
        <v>515</v>
      </c>
      <c r="Q156" s="368">
        <v>788</v>
      </c>
      <c r="R156" s="368" t="s">
        <v>515</v>
      </c>
      <c r="S156" s="368">
        <v>613</v>
      </c>
      <c r="T156" s="368" t="s">
        <v>515</v>
      </c>
      <c r="U156" s="368">
        <v>655</v>
      </c>
      <c r="V156" s="368" t="s">
        <v>515</v>
      </c>
      <c r="W156" s="368">
        <v>417</v>
      </c>
      <c r="X156" s="368" t="s">
        <v>515</v>
      </c>
      <c r="Y156" s="368">
        <v>342</v>
      </c>
      <c r="Z156" s="368" t="s">
        <v>515</v>
      </c>
      <c r="AA156" s="368">
        <v>271</v>
      </c>
      <c r="AB156" s="368" t="s">
        <v>515</v>
      </c>
      <c r="AC156" s="368">
        <v>340</v>
      </c>
      <c r="AD156" s="368" t="s">
        <v>515</v>
      </c>
      <c r="AE156" s="368">
        <v>403</v>
      </c>
      <c r="AF156" s="368" t="s">
        <v>515</v>
      </c>
      <c r="AG156" s="368">
        <v>530</v>
      </c>
      <c r="AH156" s="368" t="s">
        <v>515</v>
      </c>
      <c r="AI156" s="368">
        <v>718</v>
      </c>
      <c r="AJ156" s="368" t="s">
        <v>515</v>
      </c>
      <c r="AK156" s="368">
        <v>943</v>
      </c>
      <c r="AL156" s="368" t="s">
        <v>515</v>
      </c>
      <c r="AM156" s="368">
        <f>SUM(O156:AK156)</f>
        <v>7003</v>
      </c>
    </row>
    <row r="157" spans="1:39" s="90" customFormat="1" ht="18" customHeight="1" x14ac:dyDescent="0.3">
      <c r="A157" s="431">
        <v>74</v>
      </c>
      <c r="B157" s="422" t="s">
        <v>652</v>
      </c>
      <c r="C157" s="11" t="s">
        <v>512</v>
      </c>
      <c r="D157" s="156" t="s">
        <v>540</v>
      </c>
      <c r="E157" s="31" t="s">
        <v>364</v>
      </c>
      <c r="F157" s="23" t="s">
        <v>49</v>
      </c>
      <c r="G157" s="374"/>
      <c r="H157" s="133"/>
      <c r="I157" s="156"/>
      <c r="J157" s="133"/>
      <c r="K157" s="330" t="s">
        <v>218</v>
      </c>
      <c r="L157" s="330" t="s">
        <v>218</v>
      </c>
      <c r="M157" s="24">
        <v>13797</v>
      </c>
      <c r="N157" s="330">
        <v>14158</v>
      </c>
      <c r="O157" s="368">
        <v>1151</v>
      </c>
      <c r="P157" s="368" t="s">
        <v>515</v>
      </c>
      <c r="Q157" s="368">
        <v>1191</v>
      </c>
      <c r="R157" s="368" t="s">
        <v>515</v>
      </c>
      <c r="S157" s="368">
        <v>1173</v>
      </c>
      <c r="T157" s="368" t="s">
        <v>515</v>
      </c>
      <c r="U157" s="368">
        <v>1253</v>
      </c>
      <c r="V157" s="368" t="s">
        <v>515</v>
      </c>
      <c r="W157" s="368">
        <v>1125</v>
      </c>
      <c r="X157" s="368" t="s">
        <v>515</v>
      </c>
      <c r="Y157" s="368">
        <v>1125</v>
      </c>
      <c r="Z157" s="368" t="s">
        <v>515</v>
      </c>
      <c r="AA157" s="368">
        <v>1141</v>
      </c>
      <c r="AB157" s="368" t="s">
        <v>515</v>
      </c>
      <c r="AC157" s="368">
        <v>1082</v>
      </c>
      <c r="AD157" s="368" t="s">
        <v>515</v>
      </c>
      <c r="AE157" s="368">
        <v>1362</v>
      </c>
      <c r="AF157" s="368" t="s">
        <v>515</v>
      </c>
      <c r="AG157" s="368">
        <v>1154</v>
      </c>
      <c r="AH157" s="368" t="s">
        <v>515</v>
      </c>
      <c r="AI157" s="368">
        <v>1190</v>
      </c>
      <c r="AJ157" s="368" t="s">
        <v>515</v>
      </c>
      <c r="AK157" s="368">
        <v>1241</v>
      </c>
      <c r="AL157" s="368" t="s">
        <v>515</v>
      </c>
      <c r="AM157" s="368">
        <f>SUM(O157:AK157)</f>
        <v>14188</v>
      </c>
    </row>
    <row r="158" spans="1:39" s="90" customFormat="1" ht="18" customHeight="1" x14ac:dyDescent="0.3">
      <c r="A158" s="432"/>
      <c r="B158" s="423"/>
      <c r="C158" s="12"/>
      <c r="D158" s="156"/>
      <c r="E158" s="31" t="s">
        <v>48</v>
      </c>
      <c r="F158" s="23" t="s">
        <v>49</v>
      </c>
      <c r="G158" s="374" t="s">
        <v>527</v>
      </c>
      <c r="H158" s="133">
        <v>193</v>
      </c>
      <c r="I158" s="156"/>
      <c r="J158" s="133"/>
      <c r="K158" s="330" t="s">
        <v>218</v>
      </c>
      <c r="L158" s="330" t="s">
        <v>218</v>
      </c>
      <c r="M158" s="24">
        <v>15328</v>
      </c>
      <c r="N158" s="330">
        <v>17380</v>
      </c>
      <c r="O158" s="368">
        <v>2236</v>
      </c>
      <c r="P158" s="368" t="s">
        <v>515</v>
      </c>
      <c r="Q158" s="368">
        <v>1971</v>
      </c>
      <c r="R158" s="368" t="s">
        <v>515</v>
      </c>
      <c r="S158" s="368">
        <v>1076</v>
      </c>
      <c r="T158" s="368" t="s">
        <v>515</v>
      </c>
      <c r="U158" s="368">
        <v>784</v>
      </c>
      <c r="V158" s="368" t="s">
        <v>515</v>
      </c>
      <c r="W158" s="368">
        <v>483</v>
      </c>
      <c r="X158" s="368" t="s">
        <v>515</v>
      </c>
      <c r="Y158" s="368">
        <v>422</v>
      </c>
      <c r="Z158" s="368" t="s">
        <v>515</v>
      </c>
      <c r="AA158" s="368">
        <v>444</v>
      </c>
      <c r="AB158" s="368" t="s">
        <v>515</v>
      </c>
      <c r="AC158" s="368">
        <v>525</v>
      </c>
      <c r="AD158" s="368" t="s">
        <v>515</v>
      </c>
      <c r="AE158" s="368">
        <v>753</v>
      </c>
      <c r="AF158" s="368" t="s">
        <v>515</v>
      </c>
      <c r="AG158" s="368">
        <v>841</v>
      </c>
      <c r="AH158" s="368" t="s">
        <v>515</v>
      </c>
      <c r="AI158" s="368">
        <v>1037</v>
      </c>
      <c r="AJ158" s="368" t="s">
        <v>515</v>
      </c>
      <c r="AK158" s="368">
        <v>1156</v>
      </c>
      <c r="AL158" s="368" t="s">
        <v>515</v>
      </c>
      <c r="AM158" s="368">
        <f>SUM(O158:AK158)</f>
        <v>11728</v>
      </c>
    </row>
    <row r="159" spans="1:39" s="90" customFormat="1" ht="18" customHeight="1" x14ac:dyDescent="0.3">
      <c r="A159" s="431">
        <v>75</v>
      </c>
      <c r="B159" s="422" t="s">
        <v>653</v>
      </c>
      <c r="C159" s="11" t="s">
        <v>512</v>
      </c>
      <c r="D159" s="156" t="s">
        <v>516</v>
      </c>
      <c r="E159" s="31" t="s">
        <v>364</v>
      </c>
      <c r="F159" s="23" t="s">
        <v>49</v>
      </c>
      <c r="G159" s="374"/>
      <c r="H159" s="133"/>
      <c r="I159" s="156"/>
      <c r="J159" s="133"/>
      <c r="K159" s="330"/>
      <c r="L159" s="330"/>
      <c r="M159" s="24"/>
      <c r="N159" s="330"/>
      <c r="O159" s="368"/>
      <c r="P159" s="368"/>
      <c r="Q159" s="368"/>
      <c r="R159" s="368"/>
      <c r="S159" s="368"/>
      <c r="T159" s="368"/>
      <c r="U159" s="368"/>
      <c r="V159" s="368"/>
      <c r="W159" s="368"/>
      <c r="X159" s="368"/>
      <c r="Y159" s="368"/>
      <c r="Z159" s="368"/>
      <c r="AA159" s="368"/>
      <c r="AB159" s="368"/>
      <c r="AC159" s="368"/>
      <c r="AD159" s="368"/>
      <c r="AE159" s="368"/>
      <c r="AF159" s="368"/>
      <c r="AG159" s="368"/>
      <c r="AH159" s="368"/>
      <c r="AI159" s="368"/>
      <c r="AJ159" s="368"/>
      <c r="AK159" s="368"/>
      <c r="AL159" s="368"/>
      <c r="AM159" s="368"/>
    </row>
    <row r="160" spans="1:39" s="90" customFormat="1" ht="18" customHeight="1" x14ac:dyDescent="0.3">
      <c r="A160" s="432"/>
      <c r="B160" s="423"/>
      <c r="C160" s="12"/>
      <c r="D160" s="156"/>
      <c r="E160" s="31" t="s">
        <v>48</v>
      </c>
      <c r="F160" s="23" t="s">
        <v>49</v>
      </c>
      <c r="G160" s="374" t="s">
        <v>520</v>
      </c>
      <c r="H160" s="133">
        <v>81</v>
      </c>
      <c r="I160" s="156"/>
      <c r="J160" s="133"/>
      <c r="K160" s="330" t="s">
        <v>218</v>
      </c>
      <c r="L160" s="330" t="s">
        <v>218</v>
      </c>
      <c r="M160" s="24">
        <v>9014</v>
      </c>
      <c r="N160" s="330">
        <v>9986</v>
      </c>
      <c r="O160" s="368">
        <v>1226</v>
      </c>
      <c r="P160" s="368" t="s">
        <v>515</v>
      </c>
      <c r="Q160" s="368">
        <v>1143</v>
      </c>
      <c r="R160" s="368" t="s">
        <v>515</v>
      </c>
      <c r="S160" s="368">
        <v>1000</v>
      </c>
      <c r="T160" s="368" t="s">
        <v>515</v>
      </c>
      <c r="U160" s="368">
        <v>971</v>
      </c>
      <c r="V160" s="368" t="s">
        <v>515</v>
      </c>
      <c r="W160" s="368">
        <v>691</v>
      </c>
      <c r="X160" s="368" t="s">
        <v>515</v>
      </c>
      <c r="Y160" s="368">
        <v>585</v>
      </c>
      <c r="Z160" s="368" t="s">
        <v>515</v>
      </c>
      <c r="AA160" s="368">
        <v>564</v>
      </c>
      <c r="AB160" s="368" t="s">
        <v>515</v>
      </c>
      <c r="AC160" s="368">
        <v>648</v>
      </c>
      <c r="AD160" s="368" t="s">
        <v>515</v>
      </c>
      <c r="AE160" s="368">
        <v>849</v>
      </c>
      <c r="AF160" s="368" t="s">
        <v>515</v>
      </c>
      <c r="AG160" s="368">
        <v>801</v>
      </c>
      <c r="AH160" s="368" t="s">
        <v>515</v>
      </c>
      <c r="AI160" s="368">
        <v>1030</v>
      </c>
      <c r="AJ160" s="368" t="s">
        <v>515</v>
      </c>
      <c r="AK160" s="368">
        <v>1251</v>
      </c>
      <c r="AL160" s="368" t="s">
        <v>515</v>
      </c>
      <c r="AM160" s="368">
        <f>SUM(O160:AK160)</f>
        <v>10759</v>
      </c>
    </row>
    <row r="161" spans="1:39" s="90" customFormat="1" ht="18" customHeight="1" x14ac:dyDescent="0.3">
      <c r="A161" s="431">
        <v>76</v>
      </c>
      <c r="B161" s="422" t="s">
        <v>654</v>
      </c>
      <c r="C161" s="11" t="s">
        <v>512</v>
      </c>
      <c r="D161" s="156" t="s">
        <v>516</v>
      </c>
      <c r="E161" s="31" t="s">
        <v>364</v>
      </c>
      <c r="F161" s="23" t="s">
        <v>49</v>
      </c>
      <c r="G161" s="374"/>
      <c r="H161" s="133"/>
      <c r="I161" s="156"/>
      <c r="J161" s="133"/>
      <c r="K161" s="330"/>
      <c r="L161" s="330"/>
      <c r="M161" s="24"/>
      <c r="N161" s="330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68"/>
      <c r="Z161" s="368"/>
      <c r="AA161" s="368"/>
      <c r="AB161" s="368"/>
      <c r="AC161" s="368"/>
      <c r="AD161" s="368"/>
      <c r="AE161" s="368"/>
      <c r="AF161" s="368"/>
      <c r="AG161" s="368"/>
      <c r="AH161" s="368"/>
      <c r="AI161" s="368"/>
      <c r="AJ161" s="368"/>
      <c r="AK161" s="368"/>
      <c r="AL161" s="368"/>
      <c r="AM161" s="368"/>
    </row>
    <row r="162" spans="1:39" s="90" customFormat="1" ht="18" customHeight="1" x14ac:dyDescent="0.3">
      <c r="A162" s="432"/>
      <c r="B162" s="423"/>
      <c r="C162" s="12"/>
      <c r="D162" s="156"/>
      <c r="E162" s="31" t="s">
        <v>48</v>
      </c>
      <c r="F162" s="23" t="s">
        <v>49</v>
      </c>
      <c r="G162" s="374" t="s">
        <v>541</v>
      </c>
      <c r="H162" s="133">
        <v>93</v>
      </c>
      <c r="I162" s="156"/>
      <c r="J162" s="133"/>
      <c r="K162" s="330" t="s">
        <v>218</v>
      </c>
      <c r="L162" s="330" t="s">
        <v>218</v>
      </c>
      <c r="M162" s="24">
        <v>0</v>
      </c>
      <c r="N162" s="330">
        <v>0</v>
      </c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68"/>
      <c r="Z162" s="368"/>
      <c r="AA162" s="368"/>
      <c r="AB162" s="368"/>
      <c r="AC162" s="368"/>
      <c r="AD162" s="368"/>
      <c r="AE162" s="368"/>
      <c r="AF162" s="368"/>
      <c r="AG162" s="368"/>
      <c r="AH162" s="368"/>
      <c r="AI162" s="368">
        <v>726</v>
      </c>
      <c r="AJ162" s="368" t="s">
        <v>515</v>
      </c>
      <c r="AK162" s="368">
        <v>1527</v>
      </c>
      <c r="AL162" s="368" t="s">
        <v>515</v>
      </c>
      <c r="AM162" s="368"/>
    </row>
    <row r="163" spans="1:39" s="90" customFormat="1" ht="18" customHeight="1" x14ac:dyDescent="0.3">
      <c r="A163" s="431">
        <v>77</v>
      </c>
      <c r="B163" s="422" t="s">
        <v>655</v>
      </c>
      <c r="C163" s="11" t="s">
        <v>512</v>
      </c>
      <c r="D163" s="156" t="s">
        <v>516</v>
      </c>
      <c r="E163" s="31" t="s">
        <v>364</v>
      </c>
      <c r="F163" s="23" t="s">
        <v>49</v>
      </c>
      <c r="G163" s="374"/>
      <c r="H163" s="133"/>
      <c r="I163" s="156"/>
      <c r="J163" s="133"/>
      <c r="K163" s="330"/>
      <c r="L163" s="330"/>
      <c r="M163" s="24"/>
      <c r="N163" s="330"/>
      <c r="O163" s="368"/>
      <c r="P163" s="368"/>
      <c r="Q163" s="368"/>
      <c r="R163" s="368"/>
      <c r="S163" s="368"/>
      <c r="T163" s="368"/>
      <c r="U163" s="368"/>
      <c r="V163" s="368"/>
      <c r="W163" s="368"/>
      <c r="X163" s="368"/>
      <c r="Y163" s="368"/>
      <c r="Z163" s="368"/>
      <c r="AA163" s="368"/>
      <c r="AB163" s="368"/>
      <c r="AC163" s="368"/>
      <c r="AD163" s="368"/>
      <c r="AE163" s="368"/>
      <c r="AF163" s="368"/>
      <c r="AG163" s="368"/>
      <c r="AH163" s="368"/>
      <c r="AI163" s="368"/>
      <c r="AJ163" s="368"/>
      <c r="AK163" s="368"/>
      <c r="AL163" s="368"/>
      <c r="AM163" s="368"/>
    </row>
    <row r="164" spans="1:39" s="90" customFormat="1" ht="18" customHeight="1" x14ac:dyDescent="0.3">
      <c r="A164" s="432"/>
      <c r="B164" s="423"/>
      <c r="C164" s="12"/>
      <c r="D164" s="156"/>
      <c r="E164" s="31" t="s">
        <v>48</v>
      </c>
      <c r="F164" s="23" t="s">
        <v>49</v>
      </c>
      <c r="G164" s="374" t="s">
        <v>520</v>
      </c>
      <c r="H164" s="133">
        <v>60</v>
      </c>
      <c r="I164" s="156"/>
      <c r="J164" s="133"/>
      <c r="K164" s="330" t="s">
        <v>218</v>
      </c>
      <c r="L164" s="330" t="s">
        <v>218</v>
      </c>
      <c r="M164" s="24">
        <v>8236</v>
      </c>
      <c r="N164" s="330">
        <v>8508</v>
      </c>
      <c r="O164" s="368">
        <v>978</v>
      </c>
      <c r="P164" s="368" t="s">
        <v>515</v>
      </c>
      <c r="Q164" s="368">
        <v>796</v>
      </c>
      <c r="R164" s="368" t="s">
        <v>515</v>
      </c>
      <c r="S164" s="368">
        <v>555</v>
      </c>
      <c r="T164" s="368" t="s">
        <v>515</v>
      </c>
      <c r="U164" s="368">
        <v>447</v>
      </c>
      <c r="V164" s="368" t="s">
        <v>515</v>
      </c>
      <c r="W164" s="368">
        <v>281</v>
      </c>
      <c r="X164" s="368" t="s">
        <v>515</v>
      </c>
      <c r="Y164" s="368">
        <v>212</v>
      </c>
      <c r="Z164" s="368" t="s">
        <v>515</v>
      </c>
      <c r="AA164" s="368">
        <v>221</v>
      </c>
      <c r="AB164" s="368" t="s">
        <v>515</v>
      </c>
      <c r="AC164" s="368">
        <v>262</v>
      </c>
      <c r="AD164" s="368" t="s">
        <v>515</v>
      </c>
      <c r="AE164" s="368">
        <v>344</v>
      </c>
      <c r="AF164" s="368" t="s">
        <v>515</v>
      </c>
      <c r="AG164" s="368">
        <v>460</v>
      </c>
      <c r="AH164" s="368" t="s">
        <v>515</v>
      </c>
      <c r="AI164" s="368">
        <v>619</v>
      </c>
      <c r="AJ164" s="368" t="s">
        <v>515</v>
      </c>
      <c r="AK164" s="368">
        <v>838</v>
      </c>
      <c r="AL164" s="368" t="s">
        <v>515</v>
      </c>
      <c r="AM164" s="368">
        <f>SUM(O164:AK164)</f>
        <v>6013</v>
      </c>
    </row>
    <row r="165" spans="1:39" s="90" customFormat="1" ht="18" customHeight="1" x14ac:dyDescent="0.3">
      <c r="A165" s="431">
        <v>78</v>
      </c>
      <c r="B165" s="422" t="s">
        <v>656</v>
      </c>
      <c r="C165" s="11" t="s">
        <v>512</v>
      </c>
      <c r="D165" s="156" t="s">
        <v>516</v>
      </c>
      <c r="E165" s="31" t="s">
        <v>364</v>
      </c>
      <c r="F165" s="23" t="s">
        <v>49</v>
      </c>
      <c r="G165" s="374"/>
      <c r="H165" s="133"/>
      <c r="I165" s="156"/>
      <c r="J165" s="133"/>
      <c r="K165" s="330"/>
      <c r="L165" s="330"/>
      <c r="M165" s="24"/>
      <c r="N165" s="330"/>
      <c r="O165" s="368"/>
      <c r="P165" s="368"/>
      <c r="Q165" s="368"/>
      <c r="R165" s="368"/>
      <c r="S165" s="368"/>
      <c r="T165" s="368"/>
      <c r="U165" s="368"/>
      <c r="V165" s="368"/>
      <c r="W165" s="368"/>
      <c r="X165" s="368"/>
      <c r="Y165" s="368"/>
      <c r="Z165" s="368"/>
      <c r="AA165" s="368"/>
      <c r="AB165" s="368"/>
      <c r="AC165" s="368"/>
      <c r="AD165" s="368"/>
      <c r="AE165" s="368"/>
      <c r="AF165" s="368"/>
      <c r="AG165" s="368"/>
      <c r="AH165" s="368"/>
      <c r="AI165" s="368"/>
      <c r="AJ165" s="368"/>
      <c r="AK165" s="368"/>
      <c r="AL165" s="368"/>
      <c r="AM165" s="368"/>
    </row>
    <row r="166" spans="1:39" s="90" customFormat="1" ht="18" customHeight="1" x14ac:dyDescent="0.3">
      <c r="A166" s="432"/>
      <c r="B166" s="423"/>
      <c r="C166" s="12"/>
      <c r="D166" s="156"/>
      <c r="E166" s="31" t="s">
        <v>48</v>
      </c>
      <c r="F166" s="23" t="s">
        <v>49</v>
      </c>
      <c r="G166" s="374" t="s">
        <v>518</v>
      </c>
      <c r="H166" s="133">
        <v>60</v>
      </c>
      <c r="I166" s="156"/>
      <c r="J166" s="133"/>
      <c r="K166" s="330" t="s">
        <v>218</v>
      </c>
      <c r="L166" s="330" t="s">
        <v>218</v>
      </c>
      <c r="M166" s="24">
        <v>5419</v>
      </c>
      <c r="N166" s="330">
        <v>5823</v>
      </c>
      <c r="O166" s="368">
        <v>799</v>
      </c>
      <c r="P166" s="368" t="s">
        <v>515</v>
      </c>
      <c r="Q166" s="368">
        <v>573</v>
      </c>
      <c r="R166" s="368" t="s">
        <v>515</v>
      </c>
      <c r="S166" s="368">
        <v>443</v>
      </c>
      <c r="T166" s="368" t="s">
        <v>515</v>
      </c>
      <c r="U166" s="368">
        <v>453</v>
      </c>
      <c r="V166" s="368" t="s">
        <v>515</v>
      </c>
      <c r="W166" s="368">
        <v>283</v>
      </c>
      <c r="X166" s="368" t="s">
        <v>515</v>
      </c>
      <c r="Y166" s="368">
        <v>266</v>
      </c>
      <c r="Z166" s="368" t="s">
        <v>515</v>
      </c>
      <c r="AA166" s="368">
        <v>276</v>
      </c>
      <c r="AB166" s="368" t="s">
        <v>515</v>
      </c>
      <c r="AC166" s="368">
        <v>382</v>
      </c>
      <c r="AD166" s="368" t="s">
        <v>515</v>
      </c>
      <c r="AE166" s="368">
        <v>510</v>
      </c>
      <c r="AF166" s="368" t="s">
        <v>515</v>
      </c>
      <c r="AG166" s="368">
        <v>485</v>
      </c>
      <c r="AH166" s="368" t="s">
        <v>515</v>
      </c>
      <c r="AI166" s="368">
        <v>653</v>
      </c>
      <c r="AJ166" s="368" t="s">
        <v>515</v>
      </c>
      <c r="AK166" s="368">
        <v>641</v>
      </c>
      <c r="AL166" s="368" t="s">
        <v>515</v>
      </c>
      <c r="AM166" s="368">
        <f>SUM(O166:AK166)</f>
        <v>5764</v>
      </c>
    </row>
    <row r="167" spans="1:39" s="90" customFormat="1" ht="18" customHeight="1" x14ac:dyDescent="0.3">
      <c r="A167" s="431">
        <v>79</v>
      </c>
      <c r="B167" s="422" t="s">
        <v>657</v>
      </c>
      <c r="C167" s="11" t="s">
        <v>512</v>
      </c>
      <c r="D167" s="156" t="s">
        <v>516</v>
      </c>
      <c r="E167" s="31" t="s">
        <v>364</v>
      </c>
      <c r="F167" s="23" t="s">
        <v>49</v>
      </c>
      <c r="G167" s="374"/>
      <c r="H167" s="133"/>
      <c r="I167" s="156"/>
      <c r="J167" s="133"/>
      <c r="K167" s="330" t="s">
        <v>218</v>
      </c>
      <c r="L167" s="330" t="s">
        <v>218</v>
      </c>
      <c r="M167" s="24">
        <v>21620</v>
      </c>
      <c r="N167" s="330">
        <v>22630</v>
      </c>
      <c r="O167" s="368">
        <v>2000</v>
      </c>
      <c r="P167" s="368" t="s">
        <v>515</v>
      </c>
      <c r="Q167" s="368">
        <v>2080</v>
      </c>
      <c r="R167" s="368" t="s">
        <v>515</v>
      </c>
      <c r="S167" s="368">
        <v>1880</v>
      </c>
      <c r="T167" s="368" t="s">
        <v>515</v>
      </c>
      <c r="U167" s="368">
        <v>2320</v>
      </c>
      <c r="V167" s="368" t="s">
        <v>515</v>
      </c>
      <c r="W167" s="368">
        <v>1990</v>
      </c>
      <c r="X167" s="368" t="s">
        <v>515</v>
      </c>
      <c r="Y167" s="368">
        <v>1900</v>
      </c>
      <c r="Z167" s="368" t="s">
        <v>515</v>
      </c>
      <c r="AA167" s="368">
        <v>1770</v>
      </c>
      <c r="AB167" s="368" t="s">
        <v>515</v>
      </c>
      <c r="AC167" s="368">
        <v>1800</v>
      </c>
      <c r="AD167" s="368" t="s">
        <v>515</v>
      </c>
      <c r="AE167" s="368">
        <v>2150</v>
      </c>
      <c r="AF167" s="368" t="s">
        <v>515</v>
      </c>
      <c r="AG167" s="368">
        <v>1840</v>
      </c>
      <c r="AH167" s="368" t="s">
        <v>515</v>
      </c>
      <c r="AI167" s="368">
        <v>1840</v>
      </c>
      <c r="AJ167" s="368" t="s">
        <v>515</v>
      </c>
      <c r="AK167" s="368">
        <v>1910</v>
      </c>
      <c r="AL167" s="368" t="s">
        <v>515</v>
      </c>
      <c r="AM167" s="368">
        <f>SUM(O167:AK167)</f>
        <v>23480</v>
      </c>
    </row>
    <row r="168" spans="1:39" s="90" customFormat="1" ht="18" customHeight="1" x14ac:dyDescent="0.3">
      <c r="A168" s="432"/>
      <c r="B168" s="423"/>
      <c r="C168" s="12"/>
      <c r="D168" s="156"/>
      <c r="E168" s="31" t="s">
        <v>48</v>
      </c>
      <c r="F168" s="23" t="s">
        <v>49</v>
      </c>
      <c r="G168" s="374" t="s">
        <v>518</v>
      </c>
      <c r="H168" s="133">
        <v>313</v>
      </c>
      <c r="I168" s="156"/>
      <c r="J168" s="133"/>
      <c r="K168" s="330" t="s">
        <v>218</v>
      </c>
      <c r="L168" s="330" t="s">
        <v>218</v>
      </c>
      <c r="M168" s="24">
        <v>17834</v>
      </c>
      <c r="N168" s="330">
        <v>21999</v>
      </c>
      <c r="O168" s="368">
        <v>3713</v>
      </c>
      <c r="P168" s="368" t="s">
        <v>515</v>
      </c>
      <c r="Q168" s="368">
        <v>2954</v>
      </c>
      <c r="R168" s="368" t="s">
        <v>515</v>
      </c>
      <c r="S168" s="368">
        <v>1944</v>
      </c>
      <c r="T168" s="368" t="s">
        <v>515</v>
      </c>
      <c r="U168" s="368">
        <v>1852</v>
      </c>
      <c r="V168" s="368" t="s">
        <v>515</v>
      </c>
      <c r="W168" s="368">
        <v>1036</v>
      </c>
      <c r="X168" s="368" t="s">
        <v>515</v>
      </c>
      <c r="Y168" s="368">
        <v>804</v>
      </c>
      <c r="Z168" s="368" t="s">
        <v>515</v>
      </c>
      <c r="AA168" s="368">
        <v>803</v>
      </c>
      <c r="AB168" s="368" t="s">
        <v>515</v>
      </c>
      <c r="AC168" s="368">
        <v>825</v>
      </c>
      <c r="AD168" s="368" t="s">
        <v>515</v>
      </c>
      <c r="AE168" s="368">
        <v>1048</v>
      </c>
      <c r="AF168" s="368" t="s">
        <v>515</v>
      </c>
      <c r="AG168" s="368">
        <v>1419</v>
      </c>
      <c r="AH168" s="368" t="s">
        <v>515</v>
      </c>
      <c r="AI168" s="368">
        <v>2024</v>
      </c>
      <c r="AJ168" s="368" t="s">
        <v>515</v>
      </c>
      <c r="AK168" s="368">
        <v>2279</v>
      </c>
      <c r="AL168" s="368" t="s">
        <v>515</v>
      </c>
      <c r="AM168" s="368">
        <f>SUM(O168:AK168)</f>
        <v>20701</v>
      </c>
    </row>
    <row r="169" spans="1:39" s="90" customFormat="1" ht="18" customHeight="1" x14ac:dyDescent="0.3">
      <c r="A169" s="431">
        <v>80</v>
      </c>
      <c r="B169" s="422" t="s">
        <v>658</v>
      </c>
      <c r="C169" s="11" t="s">
        <v>512</v>
      </c>
      <c r="D169" s="156" t="s">
        <v>516</v>
      </c>
      <c r="E169" s="31" t="s">
        <v>364</v>
      </c>
      <c r="F169" s="23" t="s">
        <v>49</v>
      </c>
      <c r="G169" s="374"/>
      <c r="H169" s="133"/>
      <c r="I169" s="156"/>
      <c r="J169" s="133"/>
      <c r="K169" s="330"/>
      <c r="L169" s="330"/>
      <c r="M169" s="24"/>
      <c r="N169" s="330"/>
      <c r="O169" s="368"/>
      <c r="P169" s="368"/>
      <c r="Q169" s="368"/>
      <c r="R169" s="368"/>
      <c r="S169" s="368"/>
      <c r="T169" s="368"/>
      <c r="U169" s="368"/>
      <c r="V169" s="368"/>
      <c r="W169" s="368"/>
      <c r="X169" s="368"/>
      <c r="Y169" s="368"/>
      <c r="Z169" s="368"/>
      <c r="AA169" s="368"/>
      <c r="AB169" s="368"/>
      <c r="AC169" s="368"/>
      <c r="AD169" s="368"/>
      <c r="AE169" s="368"/>
      <c r="AF169" s="368"/>
      <c r="AG169" s="368"/>
      <c r="AH169" s="368"/>
      <c r="AI169" s="368"/>
      <c r="AJ169" s="368"/>
      <c r="AK169" s="368"/>
      <c r="AL169" s="368"/>
      <c r="AM169" s="368"/>
    </row>
    <row r="170" spans="1:39" s="90" customFormat="1" ht="18" customHeight="1" x14ac:dyDescent="0.3">
      <c r="A170" s="432"/>
      <c r="B170" s="423"/>
      <c r="C170" s="12"/>
      <c r="D170" s="156"/>
      <c r="E170" s="31" t="s">
        <v>48</v>
      </c>
      <c r="F170" s="23" t="s">
        <v>49</v>
      </c>
      <c r="G170" s="374" t="s">
        <v>520</v>
      </c>
      <c r="H170" s="133">
        <v>93</v>
      </c>
      <c r="I170" s="156"/>
      <c r="J170" s="133"/>
      <c r="K170" s="330" t="s">
        <v>218</v>
      </c>
      <c r="L170" s="330" t="s">
        <v>218</v>
      </c>
      <c r="M170" s="24">
        <v>11249</v>
      </c>
      <c r="N170" s="330">
        <v>11762</v>
      </c>
      <c r="O170" s="368">
        <v>1428</v>
      </c>
      <c r="P170" s="368" t="s">
        <v>515</v>
      </c>
      <c r="Q170" s="368">
        <v>1186</v>
      </c>
      <c r="R170" s="368" t="s">
        <v>515</v>
      </c>
      <c r="S170" s="368">
        <v>1016</v>
      </c>
      <c r="T170" s="368" t="s">
        <v>515</v>
      </c>
      <c r="U170" s="368">
        <v>985</v>
      </c>
      <c r="V170" s="368" t="s">
        <v>515</v>
      </c>
      <c r="W170" s="368">
        <v>722</v>
      </c>
      <c r="X170" s="368" t="s">
        <v>515</v>
      </c>
      <c r="Y170" s="368">
        <v>543</v>
      </c>
      <c r="Z170" s="368" t="s">
        <v>515</v>
      </c>
      <c r="AA170" s="368">
        <v>493</v>
      </c>
      <c r="AB170" s="368" t="s">
        <v>515</v>
      </c>
      <c r="AC170" s="368">
        <v>765</v>
      </c>
      <c r="AD170" s="368" t="s">
        <v>515</v>
      </c>
      <c r="AE170" s="368">
        <v>840</v>
      </c>
      <c r="AF170" s="368" t="s">
        <v>515</v>
      </c>
      <c r="AG170" s="368">
        <v>908</v>
      </c>
      <c r="AH170" s="368" t="s">
        <v>515</v>
      </c>
      <c r="AI170" s="368">
        <v>1172</v>
      </c>
      <c r="AJ170" s="368" t="s">
        <v>515</v>
      </c>
      <c r="AK170" s="368">
        <v>1220</v>
      </c>
      <c r="AL170" s="368" t="s">
        <v>515</v>
      </c>
      <c r="AM170" s="368">
        <f>SUM(O170:AK170)</f>
        <v>11278</v>
      </c>
    </row>
    <row r="171" spans="1:39" s="90" customFormat="1" ht="18" customHeight="1" x14ac:dyDescent="0.3">
      <c r="A171" s="431">
        <v>81</v>
      </c>
      <c r="B171" s="422" t="s">
        <v>659</v>
      </c>
      <c r="C171" s="11" t="s">
        <v>512</v>
      </c>
      <c r="D171" s="156" t="s">
        <v>542</v>
      </c>
      <c r="E171" s="31" t="s">
        <v>364</v>
      </c>
      <c r="F171" s="23" t="s">
        <v>49</v>
      </c>
      <c r="G171" s="374"/>
      <c r="H171" s="133"/>
      <c r="I171" s="156"/>
      <c r="J171" s="133"/>
      <c r="K171" s="330" t="s">
        <v>218</v>
      </c>
      <c r="L171" s="330" t="s">
        <v>218</v>
      </c>
      <c r="M171" s="24">
        <v>13010</v>
      </c>
      <c r="N171" s="330">
        <v>14374</v>
      </c>
      <c r="O171" s="368">
        <v>1183</v>
      </c>
      <c r="P171" s="368" t="s">
        <v>515</v>
      </c>
      <c r="Q171" s="368">
        <v>1204</v>
      </c>
      <c r="R171" s="368" t="s">
        <v>515</v>
      </c>
      <c r="S171" s="368">
        <v>1084</v>
      </c>
      <c r="T171" s="368" t="s">
        <v>515</v>
      </c>
      <c r="U171" s="368">
        <v>1283</v>
      </c>
      <c r="V171" s="368" t="s">
        <v>515</v>
      </c>
      <c r="W171" s="368">
        <v>1202</v>
      </c>
      <c r="X171" s="368" t="s">
        <v>515</v>
      </c>
      <c r="Y171" s="368">
        <v>1219</v>
      </c>
      <c r="Z171" s="368" t="s">
        <v>515</v>
      </c>
      <c r="AA171" s="368">
        <v>1139</v>
      </c>
      <c r="AB171" s="368" t="s">
        <v>515</v>
      </c>
      <c r="AC171" s="368">
        <v>1042</v>
      </c>
      <c r="AD171" s="368" t="s">
        <v>515</v>
      </c>
      <c r="AE171" s="368">
        <v>1373</v>
      </c>
      <c r="AF171" s="368" t="s">
        <v>515</v>
      </c>
      <c r="AG171" s="368">
        <v>1195</v>
      </c>
      <c r="AH171" s="368" t="s">
        <v>515</v>
      </c>
      <c r="AI171" s="368">
        <v>1266</v>
      </c>
      <c r="AJ171" s="368" t="s">
        <v>515</v>
      </c>
      <c r="AK171" s="368">
        <v>1246</v>
      </c>
      <c r="AL171" s="368" t="s">
        <v>515</v>
      </c>
      <c r="AM171" s="368">
        <f>SUM(O171:AK171)</f>
        <v>14436</v>
      </c>
    </row>
    <row r="172" spans="1:39" s="90" customFormat="1" ht="18" customHeight="1" x14ac:dyDescent="0.3">
      <c r="A172" s="432"/>
      <c r="B172" s="423"/>
      <c r="C172" s="12"/>
      <c r="D172" s="156"/>
      <c r="E172" s="31" t="s">
        <v>48</v>
      </c>
      <c r="F172" s="23" t="s">
        <v>49</v>
      </c>
      <c r="G172" s="374" t="s">
        <v>518</v>
      </c>
      <c r="H172" s="133">
        <v>252</v>
      </c>
      <c r="I172" s="156"/>
      <c r="J172" s="133"/>
      <c r="K172" s="330" t="s">
        <v>218</v>
      </c>
      <c r="L172" s="330" t="s">
        <v>218</v>
      </c>
      <c r="M172" s="24">
        <v>48580</v>
      </c>
      <c r="N172" s="330">
        <v>44858</v>
      </c>
      <c r="O172" s="368">
        <v>4170</v>
      </c>
      <c r="P172" s="368" t="s">
        <v>515</v>
      </c>
      <c r="Q172" s="368">
        <v>3641</v>
      </c>
      <c r="R172" s="368" t="s">
        <v>515</v>
      </c>
      <c r="S172" s="368">
        <v>3473</v>
      </c>
      <c r="T172" s="368" t="s">
        <v>515</v>
      </c>
      <c r="U172" s="368">
        <v>3574</v>
      </c>
      <c r="V172" s="368" t="s">
        <v>515</v>
      </c>
      <c r="W172" s="368">
        <v>3323</v>
      </c>
      <c r="X172" s="368" t="s">
        <v>515</v>
      </c>
      <c r="Y172" s="368">
        <v>3082</v>
      </c>
      <c r="Z172" s="368" t="s">
        <v>515</v>
      </c>
      <c r="AA172" s="368">
        <v>3373</v>
      </c>
      <c r="AB172" s="368" t="s">
        <v>515</v>
      </c>
      <c r="AC172" s="368">
        <v>3000</v>
      </c>
      <c r="AD172" s="368" t="s">
        <v>515</v>
      </c>
      <c r="AE172" s="368">
        <v>3878</v>
      </c>
      <c r="AF172" s="368" t="s">
        <v>515</v>
      </c>
      <c r="AG172" s="368">
        <v>3211</v>
      </c>
      <c r="AH172" s="368" t="s">
        <v>515</v>
      </c>
      <c r="AI172" s="368">
        <v>3483</v>
      </c>
      <c r="AJ172" s="368" t="s">
        <v>515</v>
      </c>
      <c r="AK172" s="368">
        <v>3612</v>
      </c>
      <c r="AL172" s="368" t="s">
        <v>515</v>
      </c>
      <c r="AM172" s="368">
        <f>SUM(O172:AK172)</f>
        <v>41820</v>
      </c>
    </row>
    <row r="173" spans="1:39" s="90" customFormat="1" ht="18" customHeight="1" x14ac:dyDescent="0.3">
      <c r="A173" s="431">
        <v>82</v>
      </c>
      <c r="B173" s="422" t="s">
        <v>660</v>
      </c>
      <c r="C173" s="11" t="s">
        <v>512</v>
      </c>
      <c r="D173" s="156" t="s">
        <v>516</v>
      </c>
      <c r="E173" s="31" t="s">
        <v>364</v>
      </c>
      <c r="F173" s="23" t="s">
        <v>49</v>
      </c>
      <c r="G173" s="374"/>
      <c r="H173" s="133"/>
      <c r="I173" s="156"/>
      <c r="J173" s="133"/>
      <c r="K173" s="330" t="s">
        <v>218</v>
      </c>
      <c r="L173" s="330" t="s">
        <v>218</v>
      </c>
      <c r="M173" s="24">
        <v>57240</v>
      </c>
      <c r="N173" s="330">
        <v>57630</v>
      </c>
      <c r="O173" s="368">
        <v>4835</v>
      </c>
      <c r="P173" s="368" t="s">
        <v>515</v>
      </c>
      <c r="Q173" s="368">
        <v>4450</v>
      </c>
      <c r="R173" s="368" t="s">
        <v>515</v>
      </c>
      <c r="S173" s="368">
        <v>4655</v>
      </c>
      <c r="T173" s="368" t="s">
        <v>515</v>
      </c>
      <c r="U173" s="368">
        <v>5360</v>
      </c>
      <c r="V173" s="368" t="s">
        <v>515</v>
      </c>
      <c r="W173" s="368">
        <v>4460</v>
      </c>
      <c r="X173" s="368" t="s">
        <v>515</v>
      </c>
      <c r="Y173" s="368">
        <v>4525</v>
      </c>
      <c r="Z173" s="368" t="s">
        <v>515</v>
      </c>
      <c r="AA173" s="368">
        <v>4490</v>
      </c>
      <c r="AB173" s="368" t="s">
        <v>515</v>
      </c>
      <c r="AC173" s="368">
        <v>3960</v>
      </c>
      <c r="AD173" s="368" t="s">
        <v>515</v>
      </c>
      <c r="AE173" s="368">
        <v>4785</v>
      </c>
      <c r="AF173" s="368" t="s">
        <v>515</v>
      </c>
      <c r="AG173" s="368">
        <v>4620</v>
      </c>
      <c r="AH173" s="368" t="s">
        <v>515</v>
      </c>
      <c r="AI173" s="368">
        <v>4150</v>
      </c>
      <c r="AJ173" s="368" t="s">
        <v>515</v>
      </c>
      <c r="AK173" s="368">
        <v>4500</v>
      </c>
      <c r="AL173" s="368" t="s">
        <v>515</v>
      </c>
      <c r="AM173" s="368">
        <f>SUM(O173:AK173)</f>
        <v>54790</v>
      </c>
    </row>
    <row r="174" spans="1:39" s="90" customFormat="1" ht="18" customHeight="1" x14ac:dyDescent="0.3">
      <c r="A174" s="432"/>
      <c r="B174" s="423"/>
      <c r="C174" s="12"/>
      <c r="D174" s="156"/>
      <c r="E174" s="31" t="s">
        <v>48</v>
      </c>
      <c r="F174" s="23" t="s">
        <v>49</v>
      </c>
      <c r="G174" s="374" t="s">
        <v>514</v>
      </c>
      <c r="H174" s="133">
        <v>495</v>
      </c>
      <c r="I174" s="156" t="s">
        <v>525</v>
      </c>
      <c r="J174" s="133">
        <v>23</v>
      </c>
      <c r="K174" s="330" t="s">
        <v>218</v>
      </c>
      <c r="L174" s="330" t="s">
        <v>218</v>
      </c>
      <c r="M174" s="24">
        <v>68415</v>
      </c>
      <c r="N174" s="330">
        <v>55853</v>
      </c>
      <c r="O174" s="368">
        <v>7287</v>
      </c>
      <c r="P174" s="368" t="s">
        <v>515</v>
      </c>
      <c r="Q174" s="368">
        <v>6630</v>
      </c>
      <c r="R174" s="368" t="s">
        <v>515</v>
      </c>
      <c r="S174" s="368">
        <v>4921</v>
      </c>
      <c r="T174" s="368" t="s">
        <v>515</v>
      </c>
      <c r="U174" s="368">
        <v>4364</v>
      </c>
      <c r="V174" s="368" t="s">
        <v>515</v>
      </c>
      <c r="W174" s="368">
        <v>3151</v>
      </c>
      <c r="X174" s="368" t="s">
        <v>515</v>
      </c>
      <c r="Y174" s="368">
        <v>2825</v>
      </c>
      <c r="Z174" s="368" t="s">
        <v>515</v>
      </c>
      <c r="AA174" s="368">
        <v>3127</v>
      </c>
      <c r="AB174" s="368" t="s">
        <v>515</v>
      </c>
      <c r="AC174" s="368">
        <v>3176</v>
      </c>
      <c r="AD174" s="368" t="s">
        <v>515</v>
      </c>
      <c r="AE174" s="368">
        <v>4374</v>
      </c>
      <c r="AF174" s="368" t="s">
        <v>515</v>
      </c>
      <c r="AG174" s="368">
        <v>4891</v>
      </c>
      <c r="AH174" s="368" t="s">
        <v>515</v>
      </c>
      <c r="AI174" s="368">
        <v>5640</v>
      </c>
      <c r="AJ174" s="368" t="s">
        <v>515</v>
      </c>
      <c r="AK174" s="368">
        <v>6608</v>
      </c>
      <c r="AL174" s="368" t="s">
        <v>515</v>
      </c>
      <c r="AM174" s="368">
        <f>SUM(O174:AK174)</f>
        <v>56994</v>
      </c>
    </row>
    <row r="175" spans="1:39" s="90" customFormat="1" ht="18" customHeight="1" x14ac:dyDescent="0.3">
      <c r="A175" s="431">
        <v>83</v>
      </c>
      <c r="B175" s="422" t="s">
        <v>661</v>
      </c>
      <c r="C175" s="11" t="s">
        <v>512</v>
      </c>
      <c r="D175" s="156" t="s">
        <v>516</v>
      </c>
      <c r="E175" s="31" t="s">
        <v>364</v>
      </c>
      <c r="F175" s="23" t="s">
        <v>49</v>
      </c>
      <c r="G175" s="374"/>
      <c r="H175" s="133"/>
      <c r="I175" s="156"/>
      <c r="J175" s="133"/>
      <c r="K175" s="330"/>
      <c r="L175" s="330"/>
      <c r="M175" s="24"/>
      <c r="N175" s="330"/>
      <c r="O175" s="368"/>
      <c r="P175" s="368"/>
      <c r="Q175" s="368"/>
      <c r="R175" s="368"/>
      <c r="S175" s="368"/>
      <c r="T175" s="368"/>
      <c r="U175" s="368"/>
      <c r="V175" s="368"/>
      <c r="W175" s="368"/>
      <c r="X175" s="368"/>
      <c r="Y175" s="368"/>
      <c r="Z175" s="368"/>
      <c r="AA175" s="368"/>
      <c r="AB175" s="368"/>
      <c r="AC175" s="368"/>
      <c r="AD175" s="368"/>
      <c r="AE175" s="368"/>
      <c r="AF175" s="368"/>
      <c r="AG175" s="368"/>
      <c r="AH175" s="368"/>
      <c r="AI175" s="368"/>
      <c r="AJ175" s="368"/>
      <c r="AK175" s="368"/>
      <c r="AL175" s="368"/>
      <c r="AM175" s="368"/>
    </row>
    <row r="176" spans="1:39" s="90" customFormat="1" ht="18" customHeight="1" x14ac:dyDescent="0.3">
      <c r="A176" s="432"/>
      <c r="B176" s="423"/>
      <c r="C176" s="12"/>
      <c r="D176" s="156"/>
      <c r="E176" s="31" t="s">
        <v>48</v>
      </c>
      <c r="F176" s="23" t="s">
        <v>49</v>
      </c>
      <c r="G176" s="374" t="s">
        <v>543</v>
      </c>
      <c r="H176" s="133">
        <v>110</v>
      </c>
      <c r="I176" s="156"/>
      <c r="J176" s="133"/>
      <c r="K176" s="330"/>
      <c r="L176" s="330"/>
      <c r="M176" s="24"/>
      <c r="N176" s="330"/>
      <c r="O176" s="368"/>
      <c r="P176" s="368"/>
      <c r="Q176" s="368"/>
      <c r="R176" s="368"/>
      <c r="S176" s="368"/>
      <c r="T176" s="368"/>
      <c r="U176" s="368"/>
      <c r="V176" s="368"/>
      <c r="W176" s="368"/>
      <c r="X176" s="368"/>
      <c r="Y176" s="368"/>
      <c r="Z176" s="368"/>
      <c r="AA176" s="368"/>
      <c r="AB176" s="368"/>
      <c r="AC176" s="368"/>
      <c r="AD176" s="368"/>
      <c r="AE176" s="368"/>
      <c r="AF176" s="368"/>
      <c r="AG176" s="368"/>
      <c r="AH176" s="368"/>
      <c r="AI176" s="368"/>
      <c r="AJ176" s="368"/>
      <c r="AK176" s="368"/>
      <c r="AL176" s="368"/>
      <c r="AM176" s="368"/>
    </row>
    <row r="177" spans="1:39" s="90" customFormat="1" ht="18" customHeight="1" x14ac:dyDescent="0.3">
      <c r="A177" s="431">
        <v>84</v>
      </c>
      <c r="B177" s="422" t="s">
        <v>662</v>
      </c>
      <c r="C177" s="11" t="s">
        <v>512</v>
      </c>
      <c r="D177" s="156" t="s">
        <v>516</v>
      </c>
      <c r="E177" s="31" t="s">
        <v>364</v>
      </c>
      <c r="F177" s="23" t="s">
        <v>49</v>
      </c>
      <c r="G177" s="374"/>
      <c r="H177" s="133"/>
      <c r="I177" s="156"/>
      <c r="J177" s="133"/>
      <c r="K177" s="330" t="s">
        <v>218</v>
      </c>
      <c r="L177" s="330" t="s">
        <v>218</v>
      </c>
      <c r="M177" s="24">
        <v>42320</v>
      </c>
      <c r="N177" s="330">
        <v>43440</v>
      </c>
      <c r="O177" s="368">
        <v>3660</v>
      </c>
      <c r="P177" s="368" t="s">
        <v>515</v>
      </c>
      <c r="Q177" s="368">
        <v>3460</v>
      </c>
      <c r="R177" s="368" t="s">
        <v>515</v>
      </c>
      <c r="S177" s="368">
        <v>3280</v>
      </c>
      <c r="T177" s="368" t="s">
        <v>515</v>
      </c>
      <c r="U177" s="368">
        <v>3840</v>
      </c>
      <c r="V177" s="368" t="s">
        <v>515</v>
      </c>
      <c r="W177" s="368">
        <v>3620</v>
      </c>
      <c r="X177" s="368" t="s">
        <v>515</v>
      </c>
      <c r="Y177" s="368">
        <v>3400</v>
      </c>
      <c r="Z177" s="368" t="s">
        <v>515</v>
      </c>
      <c r="AA177" s="368">
        <v>2960</v>
      </c>
      <c r="AB177" s="368" t="s">
        <v>515</v>
      </c>
      <c r="AC177" s="368">
        <v>2820</v>
      </c>
      <c r="AD177" s="368" t="s">
        <v>515</v>
      </c>
      <c r="AE177" s="368">
        <v>3900</v>
      </c>
      <c r="AF177" s="368" t="s">
        <v>515</v>
      </c>
      <c r="AG177" s="368">
        <v>3600</v>
      </c>
      <c r="AH177" s="368" t="s">
        <v>515</v>
      </c>
      <c r="AI177" s="368">
        <v>2840</v>
      </c>
      <c r="AJ177" s="368" t="s">
        <v>515</v>
      </c>
      <c r="AK177" s="368">
        <v>3360</v>
      </c>
      <c r="AL177" s="368" t="s">
        <v>515</v>
      </c>
      <c r="AM177" s="368">
        <f t="shared" ref="AM177:AM186" si="3">SUM(O177:AK177)</f>
        <v>40740</v>
      </c>
    </row>
    <row r="178" spans="1:39" s="90" customFormat="1" ht="18" customHeight="1" x14ac:dyDescent="0.3">
      <c r="A178" s="432"/>
      <c r="B178" s="423"/>
      <c r="C178" s="12"/>
      <c r="D178" s="156"/>
      <c r="E178" s="31" t="s">
        <v>48</v>
      </c>
      <c r="F178" s="23" t="s">
        <v>49</v>
      </c>
      <c r="G178" s="374" t="s">
        <v>514</v>
      </c>
      <c r="H178" s="133">
        <v>574</v>
      </c>
      <c r="I178" s="156" t="s">
        <v>525</v>
      </c>
      <c r="J178" s="133">
        <v>11</v>
      </c>
      <c r="K178" s="330" t="s">
        <v>218</v>
      </c>
      <c r="L178" s="330" t="s">
        <v>218</v>
      </c>
      <c r="M178" s="24">
        <v>61770</v>
      </c>
      <c r="N178" s="330">
        <v>67170</v>
      </c>
      <c r="O178" s="368">
        <v>6880</v>
      </c>
      <c r="P178" s="368" t="s">
        <v>515</v>
      </c>
      <c r="Q178" s="368">
        <v>6220</v>
      </c>
      <c r="R178" s="368" t="s">
        <v>515</v>
      </c>
      <c r="S178" s="368">
        <v>5320</v>
      </c>
      <c r="T178" s="368" t="s">
        <v>515</v>
      </c>
      <c r="U178" s="368">
        <v>6020</v>
      </c>
      <c r="V178" s="368" t="s">
        <v>515</v>
      </c>
      <c r="W178" s="368">
        <v>6050</v>
      </c>
      <c r="X178" s="368" t="s">
        <v>515</v>
      </c>
      <c r="Y178" s="368">
        <v>5950</v>
      </c>
      <c r="Z178" s="368" t="s">
        <v>515</v>
      </c>
      <c r="AA178" s="368">
        <v>5310</v>
      </c>
      <c r="AB178" s="368" t="s">
        <v>515</v>
      </c>
      <c r="AC178" s="368">
        <v>5530</v>
      </c>
      <c r="AD178" s="368" t="s">
        <v>515</v>
      </c>
      <c r="AE178" s="368">
        <v>7380</v>
      </c>
      <c r="AF178" s="368" t="s">
        <v>515</v>
      </c>
      <c r="AG178" s="368">
        <v>8130</v>
      </c>
      <c r="AH178" s="368" t="s">
        <v>515</v>
      </c>
      <c r="AI178" s="368">
        <v>6700</v>
      </c>
      <c r="AJ178" s="368" t="s">
        <v>515</v>
      </c>
      <c r="AK178" s="368">
        <v>7540</v>
      </c>
      <c r="AL178" s="368" t="s">
        <v>515</v>
      </c>
      <c r="AM178" s="368">
        <f t="shared" si="3"/>
        <v>77030</v>
      </c>
    </row>
    <row r="179" spans="1:39" s="90" customFormat="1" ht="18" customHeight="1" x14ac:dyDescent="0.3">
      <c r="A179" s="431">
        <v>85</v>
      </c>
      <c r="B179" s="422" t="s">
        <v>663</v>
      </c>
      <c r="C179" s="11" t="s">
        <v>512</v>
      </c>
      <c r="D179" s="156" t="s">
        <v>516</v>
      </c>
      <c r="E179" s="31" t="s">
        <v>364</v>
      </c>
      <c r="F179" s="23" t="s">
        <v>49</v>
      </c>
      <c r="G179" s="374"/>
      <c r="H179" s="133"/>
      <c r="I179" s="156"/>
      <c r="J179" s="133"/>
      <c r="K179" s="330" t="s">
        <v>218</v>
      </c>
      <c r="L179" s="330" t="s">
        <v>218</v>
      </c>
      <c r="M179" s="24">
        <v>57200</v>
      </c>
      <c r="N179" s="330">
        <v>59500</v>
      </c>
      <c r="O179" s="368">
        <v>4750</v>
      </c>
      <c r="P179" s="368" t="s">
        <v>515</v>
      </c>
      <c r="Q179" s="368">
        <v>4650</v>
      </c>
      <c r="R179" s="368" t="s">
        <v>515</v>
      </c>
      <c r="S179" s="368">
        <v>5200</v>
      </c>
      <c r="T179" s="368" t="s">
        <v>515</v>
      </c>
      <c r="U179" s="368">
        <v>5300</v>
      </c>
      <c r="V179" s="368" t="s">
        <v>515</v>
      </c>
      <c r="W179" s="368">
        <v>4700</v>
      </c>
      <c r="X179" s="368" t="s">
        <v>515</v>
      </c>
      <c r="Y179" s="368">
        <v>5200</v>
      </c>
      <c r="Z179" s="368" t="s">
        <v>515</v>
      </c>
      <c r="AA179" s="368">
        <v>4350</v>
      </c>
      <c r="AB179" s="368" t="s">
        <v>515</v>
      </c>
      <c r="AC179" s="368">
        <v>3840</v>
      </c>
      <c r="AD179" s="368" t="s">
        <v>515</v>
      </c>
      <c r="AE179" s="368">
        <v>5360</v>
      </c>
      <c r="AF179" s="368" t="s">
        <v>515</v>
      </c>
      <c r="AG179" s="368">
        <v>5000</v>
      </c>
      <c r="AH179" s="368" t="s">
        <v>515</v>
      </c>
      <c r="AI179" s="368">
        <v>4600</v>
      </c>
      <c r="AJ179" s="368" t="s">
        <v>515</v>
      </c>
      <c r="AK179" s="368">
        <v>4510</v>
      </c>
      <c r="AL179" s="368" t="s">
        <v>515</v>
      </c>
      <c r="AM179" s="368">
        <f t="shared" si="3"/>
        <v>57460</v>
      </c>
    </row>
    <row r="180" spans="1:39" s="90" customFormat="1" ht="18" customHeight="1" x14ac:dyDescent="0.3">
      <c r="A180" s="432"/>
      <c r="B180" s="423"/>
      <c r="C180" s="12"/>
      <c r="D180" s="156"/>
      <c r="E180" s="31" t="s">
        <v>48</v>
      </c>
      <c r="F180" s="23" t="s">
        <v>49</v>
      </c>
      <c r="G180" s="374" t="s">
        <v>527</v>
      </c>
      <c r="H180" s="133">
        <v>740</v>
      </c>
      <c r="I180" s="156" t="s">
        <v>525</v>
      </c>
      <c r="J180" s="133">
        <v>16</v>
      </c>
      <c r="K180" s="330" t="s">
        <v>218</v>
      </c>
      <c r="L180" s="330" t="s">
        <v>218</v>
      </c>
      <c r="M180" s="24">
        <v>153595</v>
      </c>
      <c r="N180" s="330">
        <v>158205</v>
      </c>
      <c r="O180" s="368">
        <v>14610</v>
      </c>
      <c r="P180" s="368" t="s">
        <v>515</v>
      </c>
      <c r="Q180" s="368">
        <v>12940</v>
      </c>
      <c r="R180" s="368" t="s">
        <v>515</v>
      </c>
      <c r="S180" s="368">
        <v>12840</v>
      </c>
      <c r="T180" s="368" t="s">
        <v>515</v>
      </c>
      <c r="U180" s="368">
        <v>11500</v>
      </c>
      <c r="V180" s="368" t="s">
        <v>515</v>
      </c>
      <c r="W180" s="368">
        <v>9930</v>
      </c>
      <c r="X180" s="368" t="s">
        <v>515</v>
      </c>
      <c r="Y180" s="368">
        <v>10150</v>
      </c>
      <c r="Z180" s="368" t="s">
        <v>515</v>
      </c>
      <c r="AA180" s="368">
        <v>8852</v>
      </c>
      <c r="AB180" s="368" t="s">
        <v>515</v>
      </c>
      <c r="AC180" s="368">
        <v>7945</v>
      </c>
      <c r="AD180" s="368" t="s">
        <v>515</v>
      </c>
      <c r="AE180" s="368">
        <v>10693</v>
      </c>
      <c r="AF180" s="368" t="s">
        <v>515</v>
      </c>
      <c r="AG180" s="368">
        <v>9470</v>
      </c>
      <c r="AH180" s="368" t="s">
        <v>515</v>
      </c>
      <c r="AI180" s="368">
        <v>9480</v>
      </c>
      <c r="AJ180" s="368" t="s">
        <v>515</v>
      </c>
      <c r="AK180" s="368">
        <v>10041</v>
      </c>
      <c r="AL180" s="368" t="s">
        <v>515</v>
      </c>
      <c r="AM180" s="368">
        <f t="shared" si="3"/>
        <v>128451</v>
      </c>
    </row>
    <row r="181" spans="1:39" s="90" customFormat="1" ht="18" customHeight="1" x14ac:dyDescent="0.3">
      <c r="A181" s="431">
        <v>86</v>
      </c>
      <c r="B181" s="422" t="s">
        <v>664</v>
      </c>
      <c r="C181" s="11" t="s">
        <v>512</v>
      </c>
      <c r="D181" s="156" t="s">
        <v>516</v>
      </c>
      <c r="E181" s="31" t="s">
        <v>364</v>
      </c>
      <c r="F181" s="23" t="s">
        <v>49</v>
      </c>
      <c r="G181" s="374"/>
      <c r="H181" s="133"/>
      <c r="I181" s="156"/>
      <c r="J181" s="133"/>
      <c r="K181" s="330" t="s">
        <v>218</v>
      </c>
      <c r="L181" s="330" t="s">
        <v>218</v>
      </c>
      <c r="M181" s="24">
        <v>28392</v>
      </c>
      <c r="N181" s="330">
        <v>27976</v>
      </c>
      <c r="O181" s="368">
        <v>2133</v>
      </c>
      <c r="P181" s="368" t="s">
        <v>515</v>
      </c>
      <c r="Q181" s="368">
        <v>2441</v>
      </c>
      <c r="R181" s="368" t="s">
        <v>515</v>
      </c>
      <c r="S181" s="368">
        <v>2064</v>
      </c>
      <c r="T181" s="368" t="s">
        <v>515</v>
      </c>
      <c r="U181" s="368">
        <v>2583</v>
      </c>
      <c r="V181" s="368" t="s">
        <v>515</v>
      </c>
      <c r="W181" s="368">
        <v>2317</v>
      </c>
      <c r="X181" s="368" t="s">
        <v>515</v>
      </c>
      <c r="Y181" s="368">
        <v>2062</v>
      </c>
      <c r="Z181" s="368" t="s">
        <v>515</v>
      </c>
      <c r="AA181" s="368">
        <v>1740</v>
      </c>
      <c r="AB181" s="368" t="s">
        <v>515</v>
      </c>
      <c r="AC181" s="368">
        <v>2068</v>
      </c>
      <c r="AD181" s="368" t="s">
        <v>515</v>
      </c>
      <c r="AE181" s="368">
        <v>2353</v>
      </c>
      <c r="AF181" s="368" t="s">
        <v>515</v>
      </c>
      <c r="AG181" s="368">
        <v>1889</v>
      </c>
      <c r="AH181" s="368" t="s">
        <v>515</v>
      </c>
      <c r="AI181" s="368">
        <v>2151</v>
      </c>
      <c r="AJ181" s="368" t="s">
        <v>515</v>
      </c>
      <c r="AK181" s="368">
        <v>1870</v>
      </c>
      <c r="AL181" s="368" t="s">
        <v>515</v>
      </c>
      <c r="AM181" s="368">
        <f t="shared" si="3"/>
        <v>25671</v>
      </c>
    </row>
    <row r="182" spans="1:39" s="90" customFormat="1" ht="18" customHeight="1" x14ac:dyDescent="0.3">
      <c r="A182" s="432"/>
      <c r="B182" s="423"/>
      <c r="C182" s="12"/>
      <c r="D182" s="156"/>
      <c r="E182" s="31" t="s">
        <v>48</v>
      </c>
      <c r="F182" s="23" t="s">
        <v>49</v>
      </c>
      <c r="G182" s="374" t="s">
        <v>518</v>
      </c>
      <c r="H182" s="133">
        <v>245</v>
      </c>
      <c r="I182" s="156" t="s">
        <v>525</v>
      </c>
      <c r="J182" s="133">
        <v>18</v>
      </c>
      <c r="K182" s="330" t="s">
        <v>218</v>
      </c>
      <c r="L182" s="330" t="s">
        <v>218</v>
      </c>
      <c r="M182" s="24">
        <v>30500</v>
      </c>
      <c r="N182" s="330">
        <v>40876</v>
      </c>
      <c r="O182" s="368">
        <v>4892</v>
      </c>
      <c r="P182" s="368" t="s">
        <v>515</v>
      </c>
      <c r="Q182" s="368">
        <v>4762</v>
      </c>
      <c r="R182" s="368" t="s">
        <v>515</v>
      </c>
      <c r="S182" s="368">
        <v>3450</v>
      </c>
      <c r="T182" s="368" t="s">
        <v>515</v>
      </c>
      <c r="U182" s="368">
        <v>3372</v>
      </c>
      <c r="V182" s="368" t="s">
        <v>515</v>
      </c>
      <c r="W182" s="368">
        <v>2220</v>
      </c>
      <c r="X182" s="368" t="s">
        <v>515</v>
      </c>
      <c r="Y182" s="368">
        <v>1656</v>
      </c>
      <c r="Z182" s="368" t="s">
        <v>515</v>
      </c>
      <c r="AA182" s="368">
        <v>2326</v>
      </c>
      <c r="AB182" s="368" t="s">
        <v>515</v>
      </c>
      <c r="AC182" s="368">
        <v>1935</v>
      </c>
      <c r="AD182" s="368" t="s">
        <v>515</v>
      </c>
      <c r="AE182" s="368">
        <v>2725</v>
      </c>
      <c r="AF182" s="368" t="s">
        <v>515</v>
      </c>
      <c r="AG182" s="368">
        <v>3450</v>
      </c>
      <c r="AH182" s="368" t="s">
        <v>515</v>
      </c>
      <c r="AI182" s="368">
        <v>4932</v>
      </c>
      <c r="AJ182" s="368" t="s">
        <v>515</v>
      </c>
      <c r="AK182" s="368">
        <v>5447</v>
      </c>
      <c r="AL182" s="368" t="s">
        <v>515</v>
      </c>
      <c r="AM182" s="368">
        <f t="shared" si="3"/>
        <v>41167</v>
      </c>
    </row>
    <row r="183" spans="1:39" s="90" customFormat="1" ht="18" customHeight="1" x14ac:dyDescent="0.3">
      <c r="A183" s="431">
        <v>87</v>
      </c>
      <c r="B183" s="422" t="s">
        <v>665</v>
      </c>
      <c r="C183" s="11" t="s">
        <v>512</v>
      </c>
      <c r="D183" s="156" t="s">
        <v>516</v>
      </c>
      <c r="E183" s="31" t="s">
        <v>364</v>
      </c>
      <c r="F183" s="23" t="s">
        <v>49</v>
      </c>
      <c r="G183" s="374"/>
      <c r="H183" s="133"/>
      <c r="I183" s="156"/>
      <c r="J183" s="133"/>
      <c r="K183" s="330" t="s">
        <v>218</v>
      </c>
      <c r="L183" s="330" t="s">
        <v>218</v>
      </c>
      <c r="M183" s="24">
        <v>10606</v>
      </c>
      <c r="N183" s="330">
        <v>12915</v>
      </c>
      <c r="O183" s="368">
        <v>1610</v>
      </c>
      <c r="P183" s="368" t="s">
        <v>515</v>
      </c>
      <c r="Q183" s="368">
        <v>1444</v>
      </c>
      <c r="R183" s="368" t="s">
        <v>515</v>
      </c>
      <c r="S183" s="368">
        <v>1459</v>
      </c>
      <c r="T183" s="368" t="s">
        <v>515</v>
      </c>
      <c r="U183" s="368">
        <v>1638</v>
      </c>
      <c r="V183" s="368" t="s">
        <v>515</v>
      </c>
      <c r="W183" s="368">
        <v>971</v>
      </c>
      <c r="X183" s="368" t="s">
        <v>515</v>
      </c>
      <c r="Y183" s="368">
        <v>714</v>
      </c>
      <c r="Z183" s="368" t="s">
        <v>515</v>
      </c>
      <c r="AA183" s="368">
        <v>755</v>
      </c>
      <c r="AB183" s="368" t="s">
        <v>515</v>
      </c>
      <c r="AC183" s="368">
        <v>676</v>
      </c>
      <c r="AD183" s="368" t="s">
        <v>515</v>
      </c>
      <c r="AE183" s="368">
        <v>903</v>
      </c>
      <c r="AF183" s="368" t="s">
        <v>515</v>
      </c>
      <c r="AG183" s="368">
        <v>1457</v>
      </c>
      <c r="AH183" s="368" t="s">
        <v>515</v>
      </c>
      <c r="AI183" s="368">
        <v>1246</v>
      </c>
      <c r="AJ183" s="368" t="s">
        <v>515</v>
      </c>
      <c r="AK183" s="368">
        <v>1695</v>
      </c>
      <c r="AL183" s="368" t="s">
        <v>515</v>
      </c>
      <c r="AM183" s="368">
        <f t="shared" si="3"/>
        <v>14568</v>
      </c>
    </row>
    <row r="184" spans="1:39" s="90" customFormat="1" ht="18" customHeight="1" x14ac:dyDescent="0.3">
      <c r="A184" s="432"/>
      <c r="B184" s="423"/>
      <c r="C184" s="12"/>
      <c r="D184" s="156"/>
      <c r="E184" s="31" t="s">
        <v>48</v>
      </c>
      <c r="F184" s="23" t="s">
        <v>49</v>
      </c>
      <c r="G184" s="374" t="s">
        <v>518</v>
      </c>
      <c r="H184" s="133">
        <v>98</v>
      </c>
      <c r="I184" s="156"/>
      <c r="J184" s="133"/>
      <c r="K184" s="330" t="s">
        <v>218</v>
      </c>
      <c r="L184" s="330" t="s">
        <v>218</v>
      </c>
      <c r="M184" s="24">
        <v>25018</v>
      </c>
      <c r="N184" s="330">
        <v>32866</v>
      </c>
      <c r="O184" s="368">
        <v>3298</v>
      </c>
      <c r="P184" s="368" t="s">
        <v>515</v>
      </c>
      <c r="Q184" s="368">
        <v>2910</v>
      </c>
      <c r="R184" s="368" t="s">
        <v>515</v>
      </c>
      <c r="S184" s="368">
        <v>2958</v>
      </c>
      <c r="T184" s="368" t="s">
        <v>515</v>
      </c>
      <c r="U184" s="368">
        <v>3116</v>
      </c>
      <c r="V184" s="368" t="s">
        <v>515</v>
      </c>
      <c r="W184" s="368">
        <v>1867</v>
      </c>
      <c r="X184" s="368" t="s">
        <v>515</v>
      </c>
      <c r="Y184" s="368">
        <v>1895</v>
      </c>
      <c r="Z184" s="368" t="s">
        <v>515</v>
      </c>
      <c r="AA184" s="368">
        <v>1946</v>
      </c>
      <c r="AB184" s="368" t="s">
        <v>515</v>
      </c>
      <c r="AC184" s="368">
        <v>1608</v>
      </c>
      <c r="AD184" s="368" t="s">
        <v>515</v>
      </c>
      <c r="AE184" s="368">
        <v>2181</v>
      </c>
      <c r="AF184" s="368" t="s">
        <v>515</v>
      </c>
      <c r="AG184" s="368">
        <v>1773</v>
      </c>
      <c r="AH184" s="368" t="s">
        <v>515</v>
      </c>
      <c r="AI184" s="368">
        <v>1501</v>
      </c>
      <c r="AJ184" s="368" t="s">
        <v>515</v>
      </c>
      <c r="AK184" s="368">
        <v>1819</v>
      </c>
      <c r="AL184" s="368" t="s">
        <v>515</v>
      </c>
      <c r="AM184" s="368">
        <f t="shared" si="3"/>
        <v>26872</v>
      </c>
    </row>
    <row r="185" spans="1:39" s="90" customFormat="1" ht="18" customHeight="1" x14ac:dyDescent="0.3">
      <c r="A185" s="431">
        <v>88</v>
      </c>
      <c r="B185" s="422" t="s">
        <v>666</v>
      </c>
      <c r="C185" s="11" t="s">
        <v>512</v>
      </c>
      <c r="D185" s="156" t="s">
        <v>516</v>
      </c>
      <c r="E185" s="31" t="s">
        <v>364</v>
      </c>
      <c r="F185" s="23" t="s">
        <v>49</v>
      </c>
      <c r="G185" s="374"/>
      <c r="H185" s="133"/>
      <c r="I185" s="156"/>
      <c r="J185" s="133"/>
      <c r="K185" s="330" t="s">
        <v>218</v>
      </c>
      <c r="L185" s="330" t="s">
        <v>218</v>
      </c>
      <c r="M185" s="24">
        <v>23198</v>
      </c>
      <c r="N185" s="330">
        <v>23184</v>
      </c>
      <c r="O185" s="368">
        <v>1920</v>
      </c>
      <c r="P185" s="368" t="s">
        <v>515</v>
      </c>
      <c r="Q185" s="368">
        <v>1784</v>
      </c>
      <c r="R185" s="368" t="s">
        <v>515</v>
      </c>
      <c r="S185" s="368">
        <v>1941</v>
      </c>
      <c r="T185" s="368" t="s">
        <v>515</v>
      </c>
      <c r="U185" s="368">
        <v>2106</v>
      </c>
      <c r="V185" s="368" t="s">
        <v>515</v>
      </c>
      <c r="W185" s="368">
        <v>1863</v>
      </c>
      <c r="X185" s="368" t="s">
        <v>515</v>
      </c>
      <c r="Y185" s="368">
        <v>1939</v>
      </c>
      <c r="Z185" s="368" t="s">
        <v>515</v>
      </c>
      <c r="AA185" s="368">
        <v>2018</v>
      </c>
      <c r="AB185" s="368" t="s">
        <v>515</v>
      </c>
      <c r="AC185" s="368">
        <v>1735</v>
      </c>
      <c r="AD185" s="368" t="s">
        <v>515</v>
      </c>
      <c r="AE185" s="368">
        <v>2104</v>
      </c>
      <c r="AF185" s="368" t="s">
        <v>515</v>
      </c>
      <c r="AG185" s="368">
        <v>1908</v>
      </c>
      <c r="AH185" s="368" t="s">
        <v>515</v>
      </c>
      <c r="AI185" s="368">
        <v>1576</v>
      </c>
      <c r="AJ185" s="368" t="s">
        <v>515</v>
      </c>
      <c r="AK185" s="368">
        <v>1718</v>
      </c>
      <c r="AL185" s="368" t="s">
        <v>515</v>
      </c>
      <c r="AM185" s="368">
        <f t="shared" si="3"/>
        <v>22612</v>
      </c>
    </row>
    <row r="186" spans="1:39" s="90" customFormat="1" ht="18" customHeight="1" x14ac:dyDescent="0.3">
      <c r="A186" s="432"/>
      <c r="B186" s="423"/>
      <c r="C186" s="12"/>
      <c r="D186" s="156"/>
      <c r="E186" s="31" t="s">
        <v>48</v>
      </c>
      <c r="F186" s="23" t="s">
        <v>49</v>
      </c>
      <c r="G186" s="374" t="s">
        <v>544</v>
      </c>
      <c r="H186" s="133">
        <v>64</v>
      </c>
      <c r="I186" s="156" t="s">
        <v>525</v>
      </c>
      <c r="J186" s="133">
        <v>1</v>
      </c>
      <c r="K186" s="330" t="s">
        <v>218</v>
      </c>
      <c r="L186" s="330" t="s">
        <v>218</v>
      </c>
      <c r="M186" s="24">
        <v>55038</v>
      </c>
      <c r="N186" s="330">
        <v>56417</v>
      </c>
      <c r="O186" s="368">
        <v>5320</v>
      </c>
      <c r="P186" s="368" t="s">
        <v>515</v>
      </c>
      <c r="Q186" s="368">
        <v>4990</v>
      </c>
      <c r="R186" s="368" t="s">
        <v>515</v>
      </c>
      <c r="S186" s="368">
        <v>5313</v>
      </c>
      <c r="T186" s="368" t="s">
        <v>515</v>
      </c>
      <c r="U186" s="368">
        <v>5312</v>
      </c>
      <c r="V186" s="368" t="s">
        <v>515</v>
      </c>
      <c r="W186" s="368">
        <v>3612</v>
      </c>
      <c r="X186" s="368" t="s">
        <v>515</v>
      </c>
      <c r="Y186" s="368">
        <v>3372</v>
      </c>
      <c r="Z186" s="368" t="s">
        <v>515</v>
      </c>
      <c r="AA186" s="368">
        <v>4100</v>
      </c>
      <c r="AB186" s="368" t="s">
        <v>515</v>
      </c>
      <c r="AC186" s="368">
        <v>3663</v>
      </c>
      <c r="AD186" s="368" t="s">
        <v>515</v>
      </c>
      <c r="AE186" s="368">
        <v>3610</v>
      </c>
      <c r="AF186" s="368" t="s">
        <v>515</v>
      </c>
      <c r="AG186" s="368">
        <v>3842</v>
      </c>
      <c r="AH186" s="368" t="s">
        <v>515</v>
      </c>
      <c r="AI186" s="368">
        <v>4107</v>
      </c>
      <c r="AJ186" s="368" t="s">
        <v>515</v>
      </c>
      <c r="AK186" s="368">
        <v>4532</v>
      </c>
      <c r="AL186" s="368" t="s">
        <v>515</v>
      </c>
      <c r="AM186" s="368">
        <f t="shared" si="3"/>
        <v>51773</v>
      </c>
    </row>
    <row r="187" spans="1:39" s="90" customFormat="1" ht="18" customHeight="1" x14ac:dyDescent="0.3">
      <c r="A187" s="431">
        <v>89</v>
      </c>
      <c r="B187" s="422" t="s">
        <v>667</v>
      </c>
      <c r="C187" s="11" t="s">
        <v>512</v>
      </c>
      <c r="D187" s="156" t="s">
        <v>516</v>
      </c>
      <c r="E187" s="31" t="s">
        <v>364</v>
      </c>
      <c r="F187" s="23" t="s">
        <v>49</v>
      </c>
      <c r="G187" s="374"/>
      <c r="H187" s="133"/>
      <c r="I187" s="156"/>
      <c r="J187" s="133"/>
      <c r="K187" s="330"/>
      <c r="L187" s="330"/>
      <c r="M187" s="24"/>
      <c r="N187" s="330"/>
      <c r="O187" s="368"/>
      <c r="P187" s="368"/>
      <c r="Q187" s="368"/>
      <c r="R187" s="368"/>
      <c r="S187" s="368"/>
      <c r="T187" s="368"/>
      <c r="U187" s="368"/>
      <c r="V187" s="368"/>
      <c r="W187" s="368"/>
      <c r="X187" s="368"/>
      <c r="Y187" s="368"/>
      <c r="Z187" s="368"/>
      <c r="AA187" s="368"/>
      <c r="AB187" s="368"/>
      <c r="AC187" s="368"/>
      <c r="AD187" s="368"/>
      <c r="AE187" s="368"/>
      <c r="AF187" s="368"/>
      <c r="AG187" s="368"/>
      <c r="AH187" s="368"/>
      <c r="AI187" s="368"/>
      <c r="AJ187" s="368"/>
      <c r="AK187" s="368"/>
      <c r="AL187" s="368"/>
      <c r="AM187" s="368"/>
    </row>
    <row r="188" spans="1:39" s="90" customFormat="1" ht="18" customHeight="1" x14ac:dyDescent="0.3">
      <c r="A188" s="432"/>
      <c r="B188" s="423"/>
      <c r="C188" s="12"/>
      <c r="D188" s="156"/>
      <c r="E188" s="31" t="s">
        <v>48</v>
      </c>
      <c r="F188" s="23" t="s">
        <v>49</v>
      </c>
      <c r="G188" s="374" t="s">
        <v>545</v>
      </c>
      <c r="H188" s="133">
        <v>28</v>
      </c>
      <c r="I188" s="156" t="s">
        <v>525</v>
      </c>
      <c r="J188" s="133">
        <v>1</v>
      </c>
      <c r="K188" s="330"/>
      <c r="L188" s="330"/>
      <c r="M188" s="24"/>
      <c r="N188" s="330"/>
      <c r="O188" s="368"/>
      <c r="P188" s="368"/>
      <c r="Q188" s="368"/>
      <c r="R188" s="368"/>
      <c r="S188" s="368"/>
      <c r="T188" s="368"/>
      <c r="U188" s="368"/>
      <c r="V188" s="368"/>
      <c r="W188" s="368"/>
      <c r="X188" s="368"/>
      <c r="Y188" s="368"/>
      <c r="Z188" s="368"/>
      <c r="AA188" s="368"/>
      <c r="AB188" s="368"/>
      <c r="AC188" s="368"/>
      <c r="AD188" s="368"/>
      <c r="AE188" s="368"/>
      <c r="AF188" s="368"/>
      <c r="AG188" s="368"/>
      <c r="AH188" s="368"/>
      <c r="AI188" s="368"/>
      <c r="AJ188" s="368"/>
      <c r="AK188" s="368"/>
      <c r="AL188" s="368"/>
      <c r="AM188" s="368"/>
    </row>
    <row r="189" spans="1:39" s="90" customFormat="1" ht="18" customHeight="1" x14ac:dyDescent="0.3">
      <c r="A189" s="431">
        <v>90</v>
      </c>
      <c r="B189" s="422" t="s">
        <v>668</v>
      </c>
      <c r="C189" s="11" t="s">
        <v>512</v>
      </c>
      <c r="D189" s="156" t="s">
        <v>516</v>
      </c>
      <c r="E189" s="31" t="s">
        <v>364</v>
      </c>
      <c r="F189" s="23" t="s">
        <v>49</v>
      </c>
      <c r="G189" s="374"/>
      <c r="H189" s="133"/>
      <c r="I189" s="156"/>
      <c r="J189" s="133"/>
      <c r="K189" s="330" t="s">
        <v>218</v>
      </c>
      <c r="L189" s="330" t="s">
        <v>218</v>
      </c>
      <c r="M189" s="24">
        <v>0</v>
      </c>
      <c r="N189" s="330">
        <v>14344</v>
      </c>
      <c r="O189" s="368">
        <v>1273</v>
      </c>
      <c r="P189" s="368" t="s">
        <v>515</v>
      </c>
      <c r="Q189" s="368">
        <v>1160</v>
      </c>
      <c r="R189" s="368" t="s">
        <v>515</v>
      </c>
      <c r="S189" s="368">
        <v>1181</v>
      </c>
      <c r="T189" s="368" t="s">
        <v>515</v>
      </c>
      <c r="U189" s="368">
        <v>1539</v>
      </c>
      <c r="V189" s="368" t="s">
        <v>515</v>
      </c>
      <c r="W189" s="368">
        <v>1348</v>
      </c>
      <c r="X189" s="368" t="s">
        <v>515</v>
      </c>
      <c r="Y189" s="368">
        <v>1072</v>
      </c>
      <c r="Z189" s="368" t="s">
        <v>515</v>
      </c>
      <c r="AA189" s="368">
        <v>1307</v>
      </c>
      <c r="AB189" s="368" t="s">
        <v>515</v>
      </c>
      <c r="AC189" s="368">
        <v>1106</v>
      </c>
      <c r="AD189" s="368" t="s">
        <v>515</v>
      </c>
      <c r="AE189" s="368">
        <v>1405</v>
      </c>
      <c r="AF189" s="368" t="s">
        <v>515</v>
      </c>
      <c r="AG189" s="368">
        <v>1487</v>
      </c>
      <c r="AH189" s="368" t="s">
        <v>515</v>
      </c>
      <c r="AI189" s="368">
        <v>945</v>
      </c>
      <c r="AJ189" s="368" t="s">
        <v>515</v>
      </c>
      <c r="AK189" s="368">
        <v>1096</v>
      </c>
      <c r="AL189" s="368" t="s">
        <v>515</v>
      </c>
      <c r="AM189" s="368">
        <f t="shared" ref="AM189:AM206" si="4">SUM(O189:AK189)</f>
        <v>14919</v>
      </c>
    </row>
    <row r="190" spans="1:39" s="90" customFormat="1" ht="18" customHeight="1" x14ac:dyDescent="0.3">
      <c r="A190" s="432"/>
      <c r="B190" s="423"/>
      <c r="C190" s="12"/>
      <c r="D190" s="156"/>
      <c r="E190" s="31" t="s">
        <v>48</v>
      </c>
      <c r="F190" s="23" t="s">
        <v>49</v>
      </c>
      <c r="G190" s="374" t="s">
        <v>546</v>
      </c>
      <c r="H190" s="133">
        <v>89</v>
      </c>
      <c r="I190" s="156"/>
      <c r="J190" s="133"/>
      <c r="K190" s="330" t="s">
        <v>218</v>
      </c>
      <c r="L190" s="330" t="s">
        <v>218</v>
      </c>
      <c r="M190" s="24">
        <v>0</v>
      </c>
      <c r="N190" s="330">
        <v>36381</v>
      </c>
      <c r="O190" s="368">
        <v>3295</v>
      </c>
      <c r="P190" s="368" t="s">
        <v>515</v>
      </c>
      <c r="Q190" s="368">
        <v>2923</v>
      </c>
      <c r="R190" s="368" t="s">
        <v>515</v>
      </c>
      <c r="S190" s="368">
        <v>2327</v>
      </c>
      <c r="T190" s="368" t="s">
        <v>515</v>
      </c>
      <c r="U190" s="368">
        <v>3248</v>
      </c>
      <c r="V190" s="368" t="s">
        <v>515</v>
      </c>
      <c r="W190" s="368">
        <v>1772</v>
      </c>
      <c r="X190" s="368" t="s">
        <v>515</v>
      </c>
      <c r="Y190" s="368">
        <v>1691</v>
      </c>
      <c r="Z190" s="368" t="s">
        <v>515</v>
      </c>
      <c r="AA190" s="368">
        <v>1734</v>
      </c>
      <c r="AB190" s="368" t="s">
        <v>515</v>
      </c>
      <c r="AC190" s="368">
        <v>2302</v>
      </c>
      <c r="AD190" s="368" t="s">
        <v>515</v>
      </c>
      <c r="AE190" s="368">
        <v>3027</v>
      </c>
      <c r="AF190" s="368" t="s">
        <v>515</v>
      </c>
      <c r="AG190" s="368">
        <v>2351</v>
      </c>
      <c r="AH190" s="368" t="s">
        <v>515</v>
      </c>
      <c r="AI190" s="368">
        <v>1241</v>
      </c>
      <c r="AJ190" s="368" t="s">
        <v>515</v>
      </c>
      <c r="AK190" s="368">
        <v>2107</v>
      </c>
      <c r="AL190" s="368" t="s">
        <v>515</v>
      </c>
      <c r="AM190" s="368">
        <f t="shared" si="4"/>
        <v>28018</v>
      </c>
    </row>
    <row r="191" spans="1:39" s="90" customFormat="1" ht="18" customHeight="1" x14ac:dyDescent="0.3">
      <c r="A191" s="431">
        <v>91</v>
      </c>
      <c r="B191" s="422" t="s">
        <v>669</v>
      </c>
      <c r="C191" s="11" t="s">
        <v>512</v>
      </c>
      <c r="D191" s="156" t="s">
        <v>516</v>
      </c>
      <c r="E191" s="31" t="s">
        <v>364</v>
      </c>
      <c r="F191" s="23" t="s">
        <v>49</v>
      </c>
      <c r="G191" s="374"/>
      <c r="H191" s="133"/>
      <c r="I191" s="156"/>
      <c r="J191" s="133"/>
      <c r="K191" s="330" t="s">
        <v>218</v>
      </c>
      <c r="L191" s="330" t="s">
        <v>218</v>
      </c>
      <c r="M191" s="24">
        <v>77140</v>
      </c>
      <c r="N191" s="330">
        <v>85515</v>
      </c>
      <c r="O191" s="368">
        <v>8270</v>
      </c>
      <c r="P191" s="368" t="s">
        <v>515</v>
      </c>
      <c r="Q191" s="368">
        <v>17480</v>
      </c>
      <c r="R191" s="368" t="s">
        <v>515</v>
      </c>
      <c r="S191" s="368">
        <v>5735</v>
      </c>
      <c r="T191" s="368" t="s">
        <v>515</v>
      </c>
      <c r="U191" s="368">
        <v>6700</v>
      </c>
      <c r="V191" s="368" t="s">
        <v>515</v>
      </c>
      <c r="W191" s="368">
        <v>5260</v>
      </c>
      <c r="X191" s="368" t="s">
        <v>515</v>
      </c>
      <c r="Y191" s="368">
        <v>5140</v>
      </c>
      <c r="Z191" s="368" t="s">
        <v>515</v>
      </c>
      <c r="AA191" s="368">
        <v>5495</v>
      </c>
      <c r="AB191" s="368" t="s">
        <v>515</v>
      </c>
      <c r="AC191" s="368">
        <v>4880</v>
      </c>
      <c r="AD191" s="368" t="s">
        <v>515</v>
      </c>
      <c r="AE191" s="368">
        <v>5760</v>
      </c>
      <c r="AF191" s="368" t="s">
        <v>515</v>
      </c>
      <c r="AG191" s="368">
        <v>4265</v>
      </c>
      <c r="AH191" s="368" t="s">
        <v>515</v>
      </c>
      <c r="AI191" s="368">
        <v>6540</v>
      </c>
      <c r="AJ191" s="368" t="s">
        <v>515</v>
      </c>
      <c r="AK191" s="368">
        <v>5565</v>
      </c>
      <c r="AL191" s="368" t="s">
        <v>515</v>
      </c>
      <c r="AM191" s="368">
        <f t="shared" si="4"/>
        <v>81090</v>
      </c>
    </row>
    <row r="192" spans="1:39" s="90" customFormat="1" ht="18" customHeight="1" x14ac:dyDescent="0.3">
      <c r="A192" s="432"/>
      <c r="B192" s="423"/>
      <c r="C192" s="12"/>
      <c r="D192" s="156"/>
      <c r="E192" s="31" t="s">
        <v>48</v>
      </c>
      <c r="F192" s="23" t="s">
        <v>49</v>
      </c>
      <c r="G192" s="374" t="s">
        <v>514</v>
      </c>
      <c r="H192" s="133">
        <v>907</v>
      </c>
      <c r="I192" s="156" t="s">
        <v>525</v>
      </c>
      <c r="J192" s="133">
        <v>18</v>
      </c>
      <c r="K192" s="330" t="s">
        <v>218</v>
      </c>
      <c r="L192" s="330" t="s">
        <v>218</v>
      </c>
      <c r="M192" s="24">
        <v>133384</v>
      </c>
      <c r="N192" s="330">
        <v>148374</v>
      </c>
      <c r="O192" s="368">
        <v>13535</v>
      </c>
      <c r="P192" s="368" t="s">
        <v>515</v>
      </c>
      <c r="Q192" s="368">
        <v>11732</v>
      </c>
      <c r="R192" s="368" t="s">
        <v>515</v>
      </c>
      <c r="S192" s="368">
        <v>11353</v>
      </c>
      <c r="T192" s="368" t="s">
        <v>515</v>
      </c>
      <c r="U192" s="368">
        <v>12094</v>
      </c>
      <c r="V192" s="368" t="s">
        <v>515</v>
      </c>
      <c r="W192" s="368">
        <v>9620</v>
      </c>
      <c r="X192" s="368" t="s">
        <v>515</v>
      </c>
      <c r="Y192" s="368">
        <v>9328</v>
      </c>
      <c r="Z192" s="368" t="s">
        <v>515</v>
      </c>
      <c r="AA192" s="368">
        <v>10200</v>
      </c>
      <c r="AB192" s="368" t="s">
        <v>515</v>
      </c>
      <c r="AC192" s="368">
        <v>8828</v>
      </c>
      <c r="AD192" s="368" t="s">
        <v>515</v>
      </c>
      <c r="AE192" s="368">
        <v>10044</v>
      </c>
      <c r="AF192" s="368" t="s">
        <v>515</v>
      </c>
      <c r="AG192" s="368">
        <v>10658</v>
      </c>
      <c r="AH192" s="368" t="s">
        <v>515</v>
      </c>
      <c r="AI192" s="368">
        <v>11763</v>
      </c>
      <c r="AJ192" s="368" t="s">
        <v>515</v>
      </c>
      <c r="AK192" s="368">
        <v>11627</v>
      </c>
      <c r="AL192" s="368" t="s">
        <v>515</v>
      </c>
      <c r="AM192" s="368">
        <f t="shared" si="4"/>
        <v>130782</v>
      </c>
    </row>
    <row r="193" spans="1:39" s="90" customFormat="1" ht="18" customHeight="1" x14ac:dyDescent="0.3">
      <c r="A193" s="431">
        <v>92</v>
      </c>
      <c r="B193" s="422" t="s">
        <v>670</v>
      </c>
      <c r="C193" s="11" t="s">
        <v>512</v>
      </c>
      <c r="D193" s="156" t="s">
        <v>516</v>
      </c>
      <c r="E193" s="31" t="s">
        <v>364</v>
      </c>
      <c r="F193" s="23" t="s">
        <v>49</v>
      </c>
      <c r="G193" s="374"/>
      <c r="H193" s="133"/>
      <c r="I193" s="156"/>
      <c r="J193" s="133"/>
      <c r="K193" s="330" t="s">
        <v>218</v>
      </c>
      <c r="L193" s="330" t="s">
        <v>218</v>
      </c>
      <c r="M193" s="24">
        <v>76480</v>
      </c>
      <c r="N193" s="330">
        <v>78100</v>
      </c>
      <c r="O193" s="368">
        <v>6600</v>
      </c>
      <c r="P193" s="368" t="s">
        <v>515</v>
      </c>
      <c r="Q193" s="368">
        <v>5800</v>
      </c>
      <c r="R193" s="368" t="s">
        <v>515</v>
      </c>
      <c r="S193" s="368">
        <v>6400</v>
      </c>
      <c r="T193" s="368" t="s">
        <v>515</v>
      </c>
      <c r="U193" s="368">
        <v>7200</v>
      </c>
      <c r="V193" s="368" t="s">
        <v>515</v>
      </c>
      <c r="W193" s="368">
        <v>5900</v>
      </c>
      <c r="X193" s="368" t="s">
        <v>515</v>
      </c>
      <c r="Y193" s="368">
        <v>6600</v>
      </c>
      <c r="Z193" s="368" t="s">
        <v>515</v>
      </c>
      <c r="AA193" s="368">
        <v>5600</v>
      </c>
      <c r="AB193" s="368" t="s">
        <v>515</v>
      </c>
      <c r="AC193" s="368">
        <v>4940</v>
      </c>
      <c r="AD193" s="368" t="s">
        <v>515</v>
      </c>
      <c r="AE193" s="368">
        <v>7160</v>
      </c>
      <c r="AF193" s="368" t="s">
        <v>515</v>
      </c>
      <c r="AG193" s="368">
        <v>5900</v>
      </c>
      <c r="AH193" s="368" t="s">
        <v>515</v>
      </c>
      <c r="AI193" s="368">
        <v>5520</v>
      </c>
      <c r="AJ193" s="368" t="s">
        <v>515</v>
      </c>
      <c r="AK193" s="368">
        <v>6840</v>
      </c>
      <c r="AL193" s="368" t="s">
        <v>515</v>
      </c>
      <c r="AM193" s="368">
        <f t="shared" si="4"/>
        <v>74460</v>
      </c>
    </row>
    <row r="194" spans="1:39" s="90" customFormat="1" ht="18" customHeight="1" x14ac:dyDescent="0.3">
      <c r="A194" s="432"/>
      <c r="B194" s="423"/>
      <c r="C194" s="12"/>
      <c r="D194" s="156"/>
      <c r="E194" s="31" t="s">
        <v>48</v>
      </c>
      <c r="F194" s="23" t="s">
        <v>49</v>
      </c>
      <c r="G194" s="374" t="s">
        <v>527</v>
      </c>
      <c r="H194" s="133">
        <v>950</v>
      </c>
      <c r="I194" s="156" t="s">
        <v>525</v>
      </c>
      <c r="J194" s="133">
        <v>16</v>
      </c>
      <c r="K194" s="330" t="s">
        <v>218</v>
      </c>
      <c r="L194" s="330" t="s">
        <v>218</v>
      </c>
      <c r="M194" s="24">
        <v>131820</v>
      </c>
      <c r="N194" s="330">
        <v>107800</v>
      </c>
      <c r="O194" s="368">
        <v>9500</v>
      </c>
      <c r="P194" s="368" t="s">
        <v>515</v>
      </c>
      <c r="Q194" s="368">
        <v>8050</v>
      </c>
      <c r="R194" s="368" t="s">
        <v>515</v>
      </c>
      <c r="S194" s="368">
        <v>7620</v>
      </c>
      <c r="T194" s="368" t="s">
        <v>515</v>
      </c>
      <c r="U194" s="368">
        <v>7030</v>
      </c>
      <c r="V194" s="368" t="s">
        <v>515</v>
      </c>
      <c r="W194" s="368">
        <v>5950</v>
      </c>
      <c r="X194" s="368" t="s">
        <v>515</v>
      </c>
      <c r="Y194" s="368">
        <v>6300</v>
      </c>
      <c r="Z194" s="368" t="s">
        <v>515</v>
      </c>
      <c r="AA194" s="368">
        <v>2950</v>
      </c>
      <c r="AB194" s="368" t="s">
        <v>515</v>
      </c>
      <c r="AC194" s="368">
        <v>5540</v>
      </c>
      <c r="AD194" s="368" t="s">
        <v>515</v>
      </c>
      <c r="AE194" s="368">
        <v>7760</v>
      </c>
      <c r="AF194" s="368" t="s">
        <v>515</v>
      </c>
      <c r="AG194" s="368">
        <v>7400</v>
      </c>
      <c r="AH194" s="368" t="s">
        <v>515</v>
      </c>
      <c r="AI194" s="368">
        <v>9900</v>
      </c>
      <c r="AJ194" s="368" t="s">
        <v>515</v>
      </c>
      <c r="AK194" s="368">
        <v>9970</v>
      </c>
      <c r="AL194" s="368" t="s">
        <v>515</v>
      </c>
      <c r="AM194" s="368">
        <f t="shared" si="4"/>
        <v>87970</v>
      </c>
    </row>
    <row r="195" spans="1:39" s="90" customFormat="1" ht="18" customHeight="1" x14ac:dyDescent="0.3">
      <c r="A195" s="431">
        <v>93</v>
      </c>
      <c r="B195" s="422" t="s">
        <v>671</v>
      </c>
      <c r="C195" s="11" t="s">
        <v>512</v>
      </c>
      <c r="D195" s="156" t="s">
        <v>547</v>
      </c>
      <c r="E195" s="31" t="s">
        <v>364</v>
      </c>
      <c r="F195" s="23" t="s">
        <v>49</v>
      </c>
      <c r="G195" s="374"/>
      <c r="H195" s="133"/>
      <c r="I195" s="156"/>
      <c r="J195" s="133"/>
      <c r="K195" s="330" t="s">
        <v>218</v>
      </c>
      <c r="L195" s="330" t="s">
        <v>218</v>
      </c>
      <c r="M195" s="24">
        <v>57150</v>
      </c>
      <c r="N195" s="330">
        <v>59850</v>
      </c>
      <c r="O195" s="368">
        <v>4500</v>
      </c>
      <c r="P195" s="368" t="s">
        <v>515</v>
      </c>
      <c r="Q195" s="368">
        <v>4350</v>
      </c>
      <c r="R195" s="368" t="s">
        <v>515</v>
      </c>
      <c r="S195" s="368">
        <v>4500</v>
      </c>
      <c r="T195" s="368" t="s">
        <v>515</v>
      </c>
      <c r="U195" s="368">
        <v>5250</v>
      </c>
      <c r="V195" s="368" t="s">
        <v>515</v>
      </c>
      <c r="W195" s="368">
        <v>4830</v>
      </c>
      <c r="X195" s="368" t="s">
        <v>515</v>
      </c>
      <c r="Y195" s="368">
        <v>3750</v>
      </c>
      <c r="Z195" s="368" t="s">
        <v>515</v>
      </c>
      <c r="AA195" s="368">
        <v>4380</v>
      </c>
      <c r="AB195" s="368" t="s">
        <v>515</v>
      </c>
      <c r="AC195" s="368">
        <v>3630</v>
      </c>
      <c r="AD195" s="368" t="s">
        <v>515</v>
      </c>
      <c r="AE195" s="368">
        <v>4950</v>
      </c>
      <c r="AF195" s="368" t="s">
        <v>515</v>
      </c>
      <c r="AG195" s="368">
        <v>4890</v>
      </c>
      <c r="AH195" s="368" t="s">
        <v>515</v>
      </c>
      <c r="AI195" s="368">
        <v>4650</v>
      </c>
      <c r="AJ195" s="368" t="s">
        <v>515</v>
      </c>
      <c r="AK195" s="368">
        <v>4230</v>
      </c>
      <c r="AL195" s="368" t="s">
        <v>515</v>
      </c>
      <c r="AM195" s="368">
        <f t="shared" si="4"/>
        <v>53910</v>
      </c>
    </row>
    <row r="196" spans="1:39" s="90" customFormat="1" ht="18" customHeight="1" x14ac:dyDescent="0.3">
      <c r="A196" s="432"/>
      <c r="B196" s="423"/>
      <c r="C196" s="12"/>
      <c r="D196" s="156"/>
      <c r="E196" s="31" t="s">
        <v>48</v>
      </c>
      <c r="F196" s="23" t="s">
        <v>49</v>
      </c>
      <c r="G196" s="374" t="s">
        <v>548</v>
      </c>
      <c r="H196" s="133">
        <v>630</v>
      </c>
      <c r="I196" s="156" t="s">
        <v>525</v>
      </c>
      <c r="J196" s="133">
        <v>15</v>
      </c>
      <c r="K196" s="330" t="s">
        <v>218</v>
      </c>
      <c r="L196" s="330" t="s">
        <v>218</v>
      </c>
      <c r="M196" s="24">
        <v>122050</v>
      </c>
      <c r="N196" s="330">
        <v>124750</v>
      </c>
      <c r="O196" s="368">
        <v>10450</v>
      </c>
      <c r="P196" s="368" t="s">
        <v>515</v>
      </c>
      <c r="Q196" s="368">
        <v>9650</v>
      </c>
      <c r="R196" s="368" t="s">
        <v>515</v>
      </c>
      <c r="S196" s="368">
        <v>9600</v>
      </c>
      <c r="T196" s="368" t="s">
        <v>515</v>
      </c>
      <c r="U196" s="368">
        <v>10600</v>
      </c>
      <c r="V196" s="368" t="s">
        <v>515</v>
      </c>
      <c r="W196" s="368">
        <v>8650</v>
      </c>
      <c r="X196" s="368" t="s">
        <v>515</v>
      </c>
      <c r="Y196" s="368">
        <v>9050</v>
      </c>
      <c r="Z196" s="368" t="s">
        <v>515</v>
      </c>
      <c r="AA196" s="368">
        <v>8950</v>
      </c>
      <c r="AB196" s="368" t="s">
        <v>515</v>
      </c>
      <c r="AC196" s="368">
        <v>7630</v>
      </c>
      <c r="AD196" s="368" t="s">
        <v>515</v>
      </c>
      <c r="AE196" s="368">
        <v>9860</v>
      </c>
      <c r="AF196" s="368" t="s">
        <v>515</v>
      </c>
      <c r="AG196" s="368">
        <v>10460</v>
      </c>
      <c r="AH196" s="368" t="s">
        <v>515</v>
      </c>
      <c r="AI196" s="368">
        <v>11750</v>
      </c>
      <c r="AJ196" s="368" t="s">
        <v>515</v>
      </c>
      <c r="AK196" s="368">
        <v>12110</v>
      </c>
      <c r="AL196" s="368" t="s">
        <v>515</v>
      </c>
      <c r="AM196" s="368">
        <f t="shared" si="4"/>
        <v>118760</v>
      </c>
    </row>
    <row r="197" spans="1:39" s="90" customFormat="1" ht="18" customHeight="1" x14ac:dyDescent="0.3">
      <c r="A197" s="431">
        <v>94</v>
      </c>
      <c r="B197" s="422" t="s">
        <v>672</v>
      </c>
      <c r="C197" s="11" t="s">
        <v>512</v>
      </c>
      <c r="D197" s="156" t="s">
        <v>516</v>
      </c>
      <c r="E197" s="31" t="s">
        <v>364</v>
      </c>
      <c r="F197" s="23" t="s">
        <v>49</v>
      </c>
      <c r="G197" s="374"/>
      <c r="H197" s="133"/>
      <c r="I197" s="156"/>
      <c r="J197" s="133"/>
      <c r="K197" s="330" t="s">
        <v>218</v>
      </c>
      <c r="L197" s="330" t="s">
        <v>218</v>
      </c>
      <c r="M197" s="24">
        <v>24970</v>
      </c>
      <c r="N197" s="330">
        <v>31230</v>
      </c>
      <c r="O197" s="368">
        <v>2450</v>
      </c>
      <c r="P197" s="368" t="s">
        <v>515</v>
      </c>
      <c r="Q197" s="368">
        <v>2320</v>
      </c>
      <c r="R197" s="368" t="s">
        <v>515</v>
      </c>
      <c r="S197" s="368">
        <v>2260</v>
      </c>
      <c r="T197" s="368" t="s">
        <v>515</v>
      </c>
      <c r="U197" s="368">
        <v>2870</v>
      </c>
      <c r="V197" s="368" t="s">
        <v>515</v>
      </c>
      <c r="W197" s="368">
        <v>2780</v>
      </c>
      <c r="X197" s="368" t="s">
        <v>515</v>
      </c>
      <c r="Y197" s="368">
        <v>2310</v>
      </c>
      <c r="Z197" s="368" t="s">
        <v>515</v>
      </c>
      <c r="AA197" s="368">
        <v>2560</v>
      </c>
      <c r="AB197" s="368" t="s">
        <v>515</v>
      </c>
      <c r="AC197" s="368">
        <v>2310</v>
      </c>
      <c r="AD197" s="368" t="s">
        <v>515</v>
      </c>
      <c r="AE197" s="368">
        <v>2590</v>
      </c>
      <c r="AF197" s="368" t="s">
        <v>515</v>
      </c>
      <c r="AG197" s="368">
        <v>2620</v>
      </c>
      <c r="AH197" s="368" t="s">
        <v>515</v>
      </c>
      <c r="AI197" s="368">
        <v>2320</v>
      </c>
      <c r="AJ197" s="368" t="s">
        <v>515</v>
      </c>
      <c r="AK197" s="368">
        <v>2730</v>
      </c>
      <c r="AL197" s="368" t="s">
        <v>515</v>
      </c>
      <c r="AM197" s="368">
        <f t="shared" si="4"/>
        <v>30120</v>
      </c>
    </row>
    <row r="198" spans="1:39" s="90" customFormat="1" ht="18" customHeight="1" x14ac:dyDescent="0.3">
      <c r="A198" s="432"/>
      <c r="B198" s="423"/>
      <c r="C198" s="12"/>
      <c r="D198" s="156"/>
      <c r="E198" s="31" t="s">
        <v>48</v>
      </c>
      <c r="F198" s="23" t="s">
        <v>49</v>
      </c>
      <c r="G198" s="374" t="s">
        <v>518</v>
      </c>
      <c r="H198" s="133">
        <v>441</v>
      </c>
      <c r="I198" s="156" t="s">
        <v>525</v>
      </c>
      <c r="J198" s="133">
        <v>21</v>
      </c>
      <c r="K198" s="330" t="s">
        <v>218</v>
      </c>
      <c r="L198" s="330" t="s">
        <v>218</v>
      </c>
      <c r="M198" s="24">
        <v>89930</v>
      </c>
      <c r="N198" s="330">
        <v>81900</v>
      </c>
      <c r="O198" s="368">
        <v>3960</v>
      </c>
      <c r="P198" s="368" t="s">
        <v>515</v>
      </c>
      <c r="Q198" s="368">
        <v>3480</v>
      </c>
      <c r="R198" s="368" t="s">
        <v>515</v>
      </c>
      <c r="S198" s="368">
        <v>3270</v>
      </c>
      <c r="T198" s="368" t="s">
        <v>515</v>
      </c>
      <c r="U198" s="368">
        <v>4060</v>
      </c>
      <c r="V198" s="368" t="s">
        <v>515</v>
      </c>
      <c r="W198" s="368">
        <v>5340</v>
      </c>
      <c r="X198" s="368" t="s">
        <v>515</v>
      </c>
      <c r="Y198" s="368">
        <v>5750</v>
      </c>
      <c r="Z198" s="368" t="s">
        <v>515</v>
      </c>
      <c r="AA198" s="368">
        <v>6680</v>
      </c>
      <c r="AB198" s="368" t="s">
        <v>515</v>
      </c>
      <c r="AC198" s="368">
        <v>6330</v>
      </c>
      <c r="AD198" s="368" t="s">
        <v>515</v>
      </c>
      <c r="AE198" s="368">
        <v>6410</v>
      </c>
      <c r="AF198" s="368" t="s">
        <v>515</v>
      </c>
      <c r="AG198" s="368">
        <v>6490</v>
      </c>
      <c r="AH198" s="368" t="s">
        <v>515</v>
      </c>
      <c r="AI198" s="368">
        <v>5760</v>
      </c>
      <c r="AJ198" s="368" t="s">
        <v>515</v>
      </c>
      <c r="AK198" s="368">
        <v>7090</v>
      </c>
      <c r="AL198" s="368" t="s">
        <v>515</v>
      </c>
      <c r="AM198" s="368">
        <f t="shared" si="4"/>
        <v>64620</v>
      </c>
    </row>
    <row r="199" spans="1:39" s="90" customFormat="1" ht="18" customHeight="1" x14ac:dyDescent="0.3">
      <c r="A199" s="431">
        <v>95</v>
      </c>
      <c r="B199" s="422" t="s">
        <v>673</v>
      </c>
      <c r="C199" s="11" t="s">
        <v>512</v>
      </c>
      <c r="D199" s="156" t="s">
        <v>516</v>
      </c>
      <c r="E199" s="31" t="s">
        <v>364</v>
      </c>
      <c r="F199" s="23" t="s">
        <v>49</v>
      </c>
      <c r="G199" s="374"/>
      <c r="H199" s="133"/>
      <c r="I199" s="156"/>
      <c r="J199" s="133"/>
      <c r="K199" s="330" t="s">
        <v>218</v>
      </c>
      <c r="L199" s="330" t="s">
        <v>218</v>
      </c>
      <c r="M199" s="24">
        <v>75800</v>
      </c>
      <c r="N199" s="330">
        <v>79720</v>
      </c>
      <c r="O199" s="368">
        <v>6900</v>
      </c>
      <c r="P199" s="368" t="s">
        <v>515</v>
      </c>
      <c r="Q199" s="368">
        <v>6000</v>
      </c>
      <c r="R199" s="368" t="s">
        <v>515</v>
      </c>
      <c r="S199" s="368">
        <v>6140</v>
      </c>
      <c r="T199" s="368" t="s">
        <v>515</v>
      </c>
      <c r="U199" s="368">
        <v>7500</v>
      </c>
      <c r="V199" s="368" t="s">
        <v>515</v>
      </c>
      <c r="W199" s="368">
        <v>6060</v>
      </c>
      <c r="X199" s="368" t="s">
        <v>515</v>
      </c>
      <c r="Y199" s="368">
        <v>4420</v>
      </c>
      <c r="Z199" s="368" t="s">
        <v>515</v>
      </c>
      <c r="AA199" s="368">
        <v>7600</v>
      </c>
      <c r="AB199" s="368" t="s">
        <v>515</v>
      </c>
      <c r="AC199" s="368">
        <v>4920</v>
      </c>
      <c r="AD199" s="368" t="s">
        <v>515</v>
      </c>
      <c r="AE199" s="368">
        <v>5860</v>
      </c>
      <c r="AF199" s="368" t="s">
        <v>515</v>
      </c>
      <c r="AG199" s="368">
        <v>5640</v>
      </c>
      <c r="AH199" s="368" t="s">
        <v>515</v>
      </c>
      <c r="AI199" s="368">
        <v>5740</v>
      </c>
      <c r="AJ199" s="368" t="s">
        <v>515</v>
      </c>
      <c r="AK199" s="368">
        <v>5840</v>
      </c>
      <c r="AL199" s="368" t="s">
        <v>515</v>
      </c>
      <c r="AM199" s="368">
        <f t="shared" si="4"/>
        <v>72620</v>
      </c>
    </row>
    <row r="200" spans="1:39" s="90" customFormat="1" ht="18" customHeight="1" x14ac:dyDescent="0.3">
      <c r="A200" s="432"/>
      <c r="B200" s="423"/>
      <c r="C200" s="12"/>
      <c r="D200" s="156"/>
      <c r="E200" s="31" t="s">
        <v>48</v>
      </c>
      <c r="F200" s="23" t="s">
        <v>49</v>
      </c>
      <c r="G200" s="374" t="s">
        <v>530</v>
      </c>
      <c r="H200" s="133">
        <v>746</v>
      </c>
      <c r="I200" s="156" t="s">
        <v>525</v>
      </c>
      <c r="J200" s="133">
        <v>15</v>
      </c>
      <c r="K200" s="330" t="s">
        <v>218</v>
      </c>
      <c r="L200" s="330" t="s">
        <v>218</v>
      </c>
      <c r="M200" s="24">
        <v>122019</v>
      </c>
      <c r="N200" s="330">
        <v>128183</v>
      </c>
      <c r="O200" s="368">
        <v>11524</v>
      </c>
      <c r="P200" s="368" t="s">
        <v>515</v>
      </c>
      <c r="Q200" s="368">
        <v>9460</v>
      </c>
      <c r="R200" s="368" t="s">
        <v>515</v>
      </c>
      <c r="S200" s="368">
        <v>10207</v>
      </c>
      <c r="T200" s="368" t="s">
        <v>515</v>
      </c>
      <c r="U200" s="368">
        <v>10370</v>
      </c>
      <c r="V200" s="368" t="s">
        <v>515</v>
      </c>
      <c r="W200" s="368">
        <v>7280</v>
      </c>
      <c r="X200" s="368" t="s">
        <v>515</v>
      </c>
      <c r="Y200" s="368">
        <v>7054</v>
      </c>
      <c r="Z200" s="368" t="s">
        <v>515</v>
      </c>
      <c r="AA200" s="368">
        <v>8001</v>
      </c>
      <c r="AB200" s="368" t="s">
        <v>515</v>
      </c>
      <c r="AC200" s="368">
        <v>6927</v>
      </c>
      <c r="AD200" s="368" t="s">
        <v>515</v>
      </c>
      <c r="AE200" s="368">
        <v>7946</v>
      </c>
      <c r="AF200" s="368" t="s">
        <v>515</v>
      </c>
      <c r="AG200" s="368">
        <v>8849</v>
      </c>
      <c r="AH200" s="368" t="s">
        <v>515</v>
      </c>
      <c r="AI200" s="368">
        <v>8552</v>
      </c>
      <c r="AJ200" s="368" t="s">
        <v>515</v>
      </c>
      <c r="AK200" s="368">
        <v>8065</v>
      </c>
      <c r="AL200" s="368" t="s">
        <v>515</v>
      </c>
      <c r="AM200" s="368">
        <f t="shared" si="4"/>
        <v>104235</v>
      </c>
    </row>
    <row r="201" spans="1:39" s="90" customFormat="1" ht="18" customHeight="1" x14ac:dyDescent="0.3">
      <c r="A201" s="431">
        <v>96</v>
      </c>
      <c r="B201" s="422" t="s">
        <v>674</v>
      </c>
      <c r="C201" s="11" t="s">
        <v>512</v>
      </c>
      <c r="D201" s="156" t="s">
        <v>516</v>
      </c>
      <c r="E201" s="31" t="s">
        <v>364</v>
      </c>
      <c r="F201" s="23" t="s">
        <v>49</v>
      </c>
      <c r="G201" s="374"/>
      <c r="H201" s="133"/>
      <c r="I201" s="156"/>
      <c r="J201" s="133"/>
      <c r="K201" s="330" t="s">
        <v>218</v>
      </c>
      <c r="L201" s="330" t="s">
        <v>218</v>
      </c>
      <c r="M201" s="24">
        <v>36020</v>
      </c>
      <c r="N201" s="330">
        <v>38480</v>
      </c>
      <c r="O201" s="368">
        <v>3160</v>
      </c>
      <c r="P201" s="368" t="s">
        <v>515</v>
      </c>
      <c r="Q201" s="368">
        <v>2860</v>
      </c>
      <c r="R201" s="368" t="s">
        <v>515</v>
      </c>
      <c r="S201" s="368">
        <v>3040</v>
      </c>
      <c r="T201" s="368" t="s">
        <v>515</v>
      </c>
      <c r="U201" s="368">
        <v>3620</v>
      </c>
      <c r="V201" s="368" t="s">
        <v>515</v>
      </c>
      <c r="W201" s="368">
        <v>2920</v>
      </c>
      <c r="X201" s="368" t="s">
        <v>515</v>
      </c>
      <c r="Y201" s="368">
        <v>2880</v>
      </c>
      <c r="Z201" s="368" t="s">
        <v>515</v>
      </c>
      <c r="AA201" s="368">
        <v>3020</v>
      </c>
      <c r="AB201" s="368" t="s">
        <v>515</v>
      </c>
      <c r="AC201" s="368">
        <v>2680</v>
      </c>
      <c r="AD201" s="368" t="s">
        <v>515</v>
      </c>
      <c r="AE201" s="368">
        <v>3220</v>
      </c>
      <c r="AF201" s="368" t="s">
        <v>515</v>
      </c>
      <c r="AG201" s="368">
        <v>3120</v>
      </c>
      <c r="AH201" s="368" t="s">
        <v>515</v>
      </c>
      <c r="AI201" s="368">
        <v>3180</v>
      </c>
      <c r="AJ201" s="368" t="s">
        <v>515</v>
      </c>
      <c r="AK201" s="368">
        <v>2920</v>
      </c>
      <c r="AL201" s="368" t="s">
        <v>515</v>
      </c>
      <c r="AM201" s="368">
        <f t="shared" si="4"/>
        <v>36620</v>
      </c>
    </row>
    <row r="202" spans="1:39" s="90" customFormat="1" ht="18" customHeight="1" x14ac:dyDescent="0.3">
      <c r="A202" s="432"/>
      <c r="B202" s="423"/>
      <c r="C202" s="12"/>
      <c r="D202" s="156"/>
      <c r="E202" s="31" t="s">
        <v>48</v>
      </c>
      <c r="F202" s="23" t="s">
        <v>49</v>
      </c>
      <c r="G202" s="374" t="s">
        <v>549</v>
      </c>
      <c r="H202" s="133">
        <v>384</v>
      </c>
      <c r="I202" s="156" t="s">
        <v>525</v>
      </c>
      <c r="J202" s="133">
        <v>6</v>
      </c>
      <c r="K202" s="330" t="s">
        <v>218</v>
      </c>
      <c r="L202" s="330" t="s">
        <v>218</v>
      </c>
      <c r="M202" s="24">
        <v>85463</v>
      </c>
      <c r="N202" s="330">
        <v>93313</v>
      </c>
      <c r="O202" s="368">
        <v>8071</v>
      </c>
      <c r="P202" s="368" t="s">
        <v>515</v>
      </c>
      <c r="Q202" s="368">
        <v>6644</v>
      </c>
      <c r="R202" s="368" t="s">
        <v>515</v>
      </c>
      <c r="S202" s="368">
        <v>6502</v>
      </c>
      <c r="T202" s="368" t="s">
        <v>515</v>
      </c>
      <c r="U202" s="368">
        <v>7631</v>
      </c>
      <c r="V202" s="368" t="s">
        <v>515</v>
      </c>
      <c r="W202" s="368">
        <v>6087</v>
      </c>
      <c r="X202" s="368" t="s">
        <v>515</v>
      </c>
      <c r="Y202" s="368">
        <v>5983</v>
      </c>
      <c r="Z202" s="368" t="s">
        <v>515</v>
      </c>
      <c r="AA202" s="368">
        <v>6622</v>
      </c>
      <c r="AB202" s="368" t="s">
        <v>515</v>
      </c>
      <c r="AC202" s="368">
        <v>6144</v>
      </c>
      <c r="AD202" s="368" t="s">
        <v>515</v>
      </c>
      <c r="AE202" s="368">
        <v>6524</v>
      </c>
      <c r="AF202" s="368" t="s">
        <v>515</v>
      </c>
      <c r="AG202" s="368">
        <v>6314</v>
      </c>
      <c r="AH202" s="368" t="s">
        <v>515</v>
      </c>
      <c r="AI202" s="368">
        <v>6352</v>
      </c>
      <c r="AJ202" s="368" t="s">
        <v>515</v>
      </c>
      <c r="AK202" s="368">
        <v>5998</v>
      </c>
      <c r="AL202" s="368" t="s">
        <v>515</v>
      </c>
      <c r="AM202" s="368">
        <f t="shared" si="4"/>
        <v>78872</v>
      </c>
    </row>
    <row r="203" spans="1:39" s="90" customFormat="1" ht="18" customHeight="1" x14ac:dyDescent="0.3">
      <c r="A203" s="431">
        <v>97</v>
      </c>
      <c r="B203" s="422" t="s">
        <v>675</v>
      </c>
      <c r="C203" s="11" t="s">
        <v>512</v>
      </c>
      <c r="D203" s="156" t="s">
        <v>516</v>
      </c>
      <c r="E203" s="31" t="s">
        <v>364</v>
      </c>
      <c r="F203" s="23" t="s">
        <v>49</v>
      </c>
      <c r="G203" s="374"/>
      <c r="H203" s="133"/>
      <c r="I203" s="156"/>
      <c r="J203" s="133"/>
      <c r="K203" s="330" t="s">
        <v>218</v>
      </c>
      <c r="L203" s="330" t="s">
        <v>218</v>
      </c>
      <c r="M203" s="24">
        <v>34670</v>
      </c>
      <c r="N203" s="330">
        <v>33760</v>
      </c>
      <c r="O203" s="368">
        <v>2800</v>
      </c>
      <c r="P203" s="368" t="s">
        <v>515</v>
      </c>
      <c r="Q203" s="368">
        <v>2730</v>
      </c>
      <c r="R203" s="368" t="s">
        <v>515</v>
      </c>
      <c r="S203" s="368">
        <v>2550</v>
      </c>
      <c r="T203" s="368" t="s">
        <v>515</v>
      </c>
      <c r="U203" s="368">
        <v>3140</v>
      </c>
      <c r="V203" s="368" t="s">
        <v>515</v>
      </c>
      <c r="W203" s="368">
        <v>2810</v>
      </c>
      <c r="X203" s="368" t="s">
        <v>515</v>
      </c>
      <c r="Y203" s="368">
        <v>2430</v>
      </c>
      <c r="Z203" s="368" t="s">
        <v>515</v>
      </c>
      <c r="AA203" s="368">
        <v>2700</v>
      </c>
      <c r="AB203" s="368" t="s">
        <v>515</v>
      </c>
      <c r="AC203" s="368">
        <v>2390</v>
      </c>
      <c r="AD203" s="368" t="s">
        <v>515</v>
      </c>
      <c r="AE203" s="368">
        <v>2800</v>
      </c>
      <c r="AF203" s="368" t="s">
        <v>515</v>
      </c>
      <c r="AG203" s="368">
        <v>2710</v>
      </c>
      <c r="AH203" s="368" t="s">
        <v>515</v>
      </c>
      <c r="AI203" s="368">
        <v>2980</v>
      </c>
      <c r="AJ203" s="368" t="s">
        <v>515</v>
      </c>
      <c r="AK203" s="368">
        <v>2740</v>
      </c>
      <c r="AL203" s="368" t="s">
        <v>515</v>
      </c>
      <c r="AM203" s="368">
        <f t="shared" si="4"/>
        <v>32780</v>
      </c>
    </row>
    <row r="204" spans="1:39" s="90" customFormat="1" ht="18" customHeight="1" x14ac:dyDescent="0.3">
      <c r="A204" s="432"/>
      <c r="B204" s="423"/>
      <c r="C204" s="12"/>
      <c r="D204" s="156"/>
      <c r="E204" s="31" t="s">
        <v>48</v>
      </c>
      <c r="F204" s="23" t="s">
        <v>49</v>
      </c>
      <c r="G204" s="374" t="s">
        <v>550</v>
      </c>
      <c r="H204" s="133">
        <v>441</v>
      </c>
      <c r="I204" s="156" t="s">
        <v>525</v>
      </c>
      <c r="J204" s="133">
        <v>9</v>
      </c>
      <c r="K204" s="330" t="s">
        <v>218</v>
      </c>
      <c r="L204" s="330" t="s">
        <v>218</v>
      </c>
      <c r="M204" s="24">
        <v>25653</v>
      </c>
      <c r="N204" s="330">
        <v>27645</v>
      </c>
      <c r="O204" s="368">
        <v>2469</v>
      </c>
      <c r="P204" s="368" t="s">
        <v>515</v>
      </c>
      <c r="Q204" s="368">
        <v>2275</v>
      </c>
      <c r="R204" s="368" t="s">
        <v>515</v>
      </c>
      <c r="S204" s="368">
        <v>2086</v>
      </c>
      <c r="T204" s="368" t="s">
        <v>515</v>
      </c>
      <c r="U204" s="368">
        <v>2566</v>
      </c>
      <c r="V204" s="368" t="s">
        <v>515</v>
      </c>
      <c r="W204" s="368">
        <v>2387</v>
      </c>
      <c r="X204" s="368" t="s">
        <v>515</v>
      </c>
      <c r="Y204" s="368">
        <v>2061</v>
      </c>
      <c r="Z204" s="368" t="s">
        <v>515</v>
      </c>
      <c r="AA204" s="368">
        <v>2293</v>
      </c>
      <c r="AB204" s="368" t="s">
        <v>515</v>
      </c>
      <c r="AC204" s="368">
        <v>2014</v>
      </c>
      <c r="AD204" s="368" t="s">
        <v>515</v>
      </c>
      <c r="AE204" s="368">
        <v>2239</v>
      </c>
      <c r="AF204" s="368" t="s">
        <v>515</v>
      </c>
      <c r="AG204" s="368">
        <v>2142</v>
      </c>
      <c r="AH204" s="368" t="s">
        <v>515</v>
      </c>
      <c r="AI204" s="368">
        <v>2532</v>
      </c>
      <c r="AJ204" s="368" t="s">
        <v>515</v>
      </c>
      <c r="AK204" s="368">
        <v>2270</v>
      </c>
      <c r="AL204" s="368" t="s">
        <v>515</v>
      </c>
      <c r="AM204" s="368">
        <f t="shared" si="4"/>
        <v>27334</v>
      </c>
    </row>
    <row r="205" spans="1:39" s="90" customFormat="1" ht="18" customHeight="1" x14ac:dyDescent="0.3">
      <c r="A205" s="431">
        <v>98</v>
      </c>
      <c r="B205" s="422" t="s">
        <v>676</v>
      </c>
      <c r="C205" s="11" t="s">
        <v>512</v>
      </c>
      <c r="D205" s="156" t="s">
        <v>516</v>
      </c>
      <c r="E205" s="31" t="s">
        <v>364</v>
      </c>
      <c r="F205" s="23" t="s">
        <v>49</v>
      </c>
      <c r="G205" s="374"/>
      <c r="H205" s="133"/>
      <c r="I205" s="156"/>
      <c r="J205" s="133"/>
      <c r="K205" s="330" t="s">
        <v>218</v>
      </c>
      <c r="L205" s="330" t="s">
        <v>218</v>
      </c>
      <c r="M205" s="24">
        <v>67320</v>
      </c>
      <c r="N205" s="330">
        <v>59680</v>
      </c>
      <c r="O205" s="368">
        <v>4920</v>
      </c>
      <c r="P205" s="368" t="s">
        <v>515</v>
      </c>
      <c r="Q205" s="368">
        <v>4360</v>
      </c>
      <c r="R205" s="368" t="s">
        <v>515</v>
      </c>
      <c r="S205" s="368">
        <v>4400</v>
      </c>
      <c r="T205" s="368" t="s">
        <v>515</v>
      </c>
      <c r="U205" s="368">
        <v>5220</v>
      </c>
      <c r="V205" s="368" t="s">
        <v>515</v>
      </c>
      <c r="W205" s="368">
        <v>5180</v>
      </c>
      <c r="X205" s="368" t="s">
        <v>515</v>
      </c>
      <c r="Y205" s="368">
        <v>4120</v>
      </c>
      <c r="Z205" s="368" t="s">
        <v>515</v>
      </c>
      <c r="AA205" s="368">
        <v>4760</v>
      </c>
      <c r="AB205" s="368" t="s">
        <v>515</v>
      </c>
      <c r="AC205" s="368">
        <v>4260</v>
      </c>
      <c r="AD205" s="368" t="s">
        <v>515</v>
      </c>
      <c r="AE205" s="368">
        <v>4940</v>
      </c>
      <c r="AF205" s="368" t="s">
        <v>515</v>
      </c>
      <c r="AG205" s="368">
        <v>4740</v>
      </c>
      <c r="AH205" s="368" t="s">
        <v>515</v>
      </c>
      <c r="AI205" s="368">
        <v>5020</v>
      </c>
      <c r="AJ205" s="368" t="s">
        <v>515</v>
      </c>
      <c r="AK205" s="368">
        <v>4900</v>
      </c>
      <c r="AL205" s="368" t="s">
        <v>515</v>
      </c>
      <c r="AM205" s="368">
        <f t="shared" si="4"/>
        <v>56820</v>
      </c>
    </row>
    <row r="206" spans="1:39" s="90" customFormat="1" ht="18" customHeight="1" x14ac:dyDescent="0.3">
      <c r="A206" s="432"/>
      <c r="B206" s="423"/>
      <c r="C206" s="12"/>
      <c r="D206" s="156"/>
      <c r="E206" s="31" t="s">
        <v>48</v>
      </c>
      <c r="F206" s="23" t="s">
        <v>49</v>
      </c>
      <c r="G206" s="374" t="s">
        <v>518</v>
      </c>
      <c r="H206" s="133">
        <v>694</v>
      </c>
      <c r="I206" s="156" t="s">
        <v>525</v>
      </c>
      <c r="J206" s="133">
        <v>17</v>
      </c>
      <c r="K206" s="330" t="s">
        <v>218</v>
      </c>
      <c r="L206" s="330" t="s">
        <v>218</v>
      </c>
      <c r="M206" s="24">
        <v>70143</v>
      </c>
      <c r="N206" s="330">
        <v>76831</v>
      </c>
      <c r="O206" s="368">
        <v>7994</v>
      </c>
      <c r="P206" s="368" t="s">
        <v>515</v>
      </c>
      <c r="Q206" s="368">
        <v>6337</v>
      </c>
      <c r="R206" s="368" t="s">
        <v>515</v>
      </c>
      <c r="S206" s="368">
        <v>6337</v>
      </c>
      <c r="T206" s="368" t="s">
        <v>515</v>
      </c>
      <c r="U206" s="368">
        <v>6861</v>
      </c>
      <c r="V206" s="368" t="s">
        <v>515</v>
      </c>
      <c r="W206" s="368">
        <v>5808</v>
      </c>
      <c r="X206" s="368" t="s">
        <v>515</v>
      </c>
      <c r="Y206" s="368">
        <v>4722</v>
      </c>
      <c r="Z206" s="368" t="s">
        <v>515</v>
      </c>
      <c r="AA206" s="368">
        <v>6083</v>
      </c>
      <c r="AB206" s="368" t="s">
        <v>515</v>
      </c>
      <c r="AC206" s="368">
        <v>5350</v>
      </c>
      <c r="AD206" s="368" t="s">
        <v>515</v>
      </c>
      <c r="AE206" s="368">
        <v>5591</v>
      </c>
      <c r="AF206" s="368" t="s">
        <v>515</v>
      </c>
      <c r="AG206" s="368">
        <v>5005</v>
      </c>
      <c r="AH206" s="368" t="s">
        <v>515</v>
      </c>
      <c r="AI206" s="368">
        <v>6449</v>
      </c>
      <c r="AJ206" s="368" t="s">
        <v>515</v>
      </c>
      <c r="AK206" s="368">
        <v>7303</v>
      </c>
      <c r="AL206" s="368" t="s">
        <v>515</v>
      </c>
      <c r="AM206" s="368">
        <f t="shared" si="4"/>
        <v>73840</v>
      </c>
    </row>
    <row r="207" spans="1:39" s="90" customFormat="1" ht="18" customHeight="1" x14ac:dyDescent="0.3">
      <c r="A207" s="431">
        <v>99</v>
      </c>
      <c r="B207" s="422" t="s">
        <v>677</v>
      </c>
      <c r="C207" s="11" t="s">
        <v>512</v>
      </c>
      <c r="D207" s="156" t="s">
        <v>516</v>
      </c>
      <c r="E207" s="31" t="s">
        <v>364</v>
      </c>
      <c r="F207" s="23" t="s">
        <v>49</v>
      </c>
      <c r="G207" s="374"/>
      <c r="H207" s="133"/>
      <c r="I207" s="156"/>
      <c r="J207" s="133"/>
      <c r="K207" s="330"/>
      <c r="L207" s="330"/>
      <c r="M207" s="24"/>
      <c r="N207" s="330"/>
      <c r="O207" s="368"/>
      <c r="P207" s="368"/>
      <c r="Q207" s="368"/>
      <c r="R207" s="368"/>
      <c r="S207" s="368"/>
      <c r="T207" s="368"/>
      <c r="U207" s="368"/>
      <c r="V207" s="368"/>
      <c r="W207" s="368"/>
      <c r="X207" s="368"/>
      <c r="Y207" s="368"/>
      <c r="Z207" s="368"/>
      <c r="AA207" s="368"/>
      <c r="AB207" s="368"/>
      <c r="AC207" s="368"/>
      <c r="AD207" s="368"/>
      <c r="AE207" s="368"/>
      <c r="AF207" s="368"/>
      <c r="AG207" s="368"/>
      <c r="AH207" s="368"/>
      <c r="AI207" s="368"/>
      <c r="AJ207" s="368"/>
      <c r="AK207" s="368"/>
      <c r="AL207" s="368"/>
      <c r="AM207" s="368"/>
    </row>
    <row r="208" spans="1:39" s="90" customFormat="1" ht="18" customHeight="1" x14ac:dyDescent="0.3">
      <c r="A208" s="432"/>
      <c r="B208" s="423"/>
      <c r="C208" s="12"/>
      <c r="D208" s="156"/>
      <c r="E208" s="31" t="s">
        <v>48</v>
      </c>
      <c r="F208" s="23" t="s">
        <v>49</v>
      </c>
      <c r="G208" s="374" t="s">
        <v>534</v>
      </c>
      <c r="H208" s="133">
        <v>72</v>
      </c>
      <c r="I208" s="156"/>
      <c r="J208" s="133"/>
      <c r="K208" s="330" t="s">
        <v>218</v>
      </c>
      <c r="L208" s="330" t="s">
        <v>218</v>
      </c>
      <c r="M208" s="24">
        <v>10014</v>
      </c>
      <c r="N208" s="330">
        <v>10228</v>
      </c>
      <c r="O208" s="368">
        <v>1318</v>
      </c>
      <c r="P208" s="368" t="s">
        <v>515</v>
      </c>
      <c r="Q208" s="368">
        <v>1295</v>
      </c>
      <c r="R208" s="368" t="s">
        <v>515</v>
      </c>
      <c r="S208" s="368">
        <v>888</v>
      </c>
      <c r="T208" s="368" t="s">
        <v>515</v>
      </c>
      <c r="U208" s="368">
        <v>675</v>
      </c>
      <c r="V208" s="368" t="s">
        <v>515</v>
      </c>
      <c r="W208" s="368">
        <v>541</v>
      </c>
      <c r="X208" s="368" t="s">
        <v>515</v>
      </c>
      <c r="Y208" s="368">
        <v>386</v>
      </c>
      <c r="Z208" s="368" t="s">
        <v>515</v>
      </c>
      <c r="AA208" s="368">
        <v>333</v>
      </c>
      <c r="AB208" s="368" t="s">
        <v>515</v>
      </c>
      <c r="AC208" s="368">
        <v>348</v>
      </c>
      <c r="AD208" s="368" t="s">
        <v>515</v>
      </c>
      <c r="AE208" s="368">
        <v>468</v>
      </c>
      <c r="AF208" s="368" t="s">
        <v>515</v>
      </c>
      <c r="AG208" s="368">
        <v>667</v>
      </c>
      <c r="AH208" s="368" t="s">
        <v>515</v>
      </c>
      <c r="AI208" s="368">
        <v>836</v>
      </c>
      <c r="AJ208" s="368" t="s">
        <v>515</v>
      </c>
      <c r="AK208" s="368">
        <v>1147</v>
      </c>
      <c r="AL208" s="368" t="s">
        <v>515</v>
      </c>
      <c r="AM208" s="368">
        <f>SUM(O208:AK208)</f>
        <v>8902</v>
      </c>
    </row>
    <row r="209" spans="1:39" s="90" customFormat="1" ht="18" customHeight="1" x14ac:dyDescent="0.3">
      <c r="A209" s="431">
        <v>100</v>
      </c>
      <c r="B209" s="422" t="s">
        <v>678</v>
      </c>
      <c r="C209" s="11" t="s">
        <v>512</v>
      </c>
      <c r="D209" s="156" t="s">
        <v>516</v>
      </c>
      <c r="E209" s="31" t="s">
        <v>364</v>
      </c>
      <c r="F209" s="23" t="s">
        <v>49</v>
      </c>
      <c r="G209" s="374"/>
      <c r="H209" s="133"/>
      <c r="I209" s="156"/>
      <c r="J209" s="133"/>
      <c r="K209" s="330"/>
      <c r="L209" s="330"/>
      <c r="M209" s="24"/>
      <c r="N209" s="330"/>
      <c r="O209" s="368"/>
      <c r="P209" s="368"/>
      <c r="Q209" s="368"/>
      <c r="R209" s="368"/>
      <c r="S209" s="368"/>
      <c r="T209" s="368"/>
      <c r="U209" s="368"/>
      <c r="V209" s="368"/>
      <c r="W209" s="368"/>
      <c r="X209" s="368"/>
      <c r="Y209" s="368"/>
      <c r="Z209" s="368"/>
      <c r="AA209" s="368"/>
      <c r="AB209" s="368"/>
      <c r="AC209" s="368"/>
      <c r="AD209" s="368"/>
      <c r="AE209" s="368"/>
      <c r="AF209" s="368"/>
      <c r="AG209" s="368"/>
      <c r="AH209" s="368"/>
      <c r="AI209" s="368"/>
      <c r="AJ209" s="368"/>
      <c r="AK209" s="368"/>
      <c r="AL209" s="368"/>
      <c r="AM209" s="368"/>
    </row>
    <row r="210" spans="1:39" s="90" customFormat="1" ht="18" customHeight="1" x14ac:dyDescent="0.3">
      <c r="A210" s="432"/>
      <c r="B210" s="423"/>
      <c r="C210" s="12"/>
      <c r="D210" s="156"/>
      <c r="E210" s="31" t="s">
        <v>48</v>
      </c>
      <c r="F210" s="23" t="s">
        <v>49</v>
      </c>
      <c r="G210" s="374" t="s">
        <v>536</v>
      </c>
      <c r="H210" s="133">
        <v>72</v>
      </c>
      <c r="I210" s="156"/>
      <c r="J210" s="133"/>
      <c r="K210" s="330" t="s">
        <v>218</v>
      </c>
      <c r="L210" s="330" t="s">
        <v>218</v>
      </c>
      <c r="M210" s="24">
        <v>3644</v>
      </c>
      <c r="N210" s="330">
        <v>3554</v>
      </c>
      <c r="O210" s="368">
        <v>359</v>
      </c>
      <c r="P210" s="368" t="s">
        <v>515</v>
      </c>
      <c r="Q210" s="368">
        <v>235</v>
      </c>
      <c r="R210" s="368" t="s">
        <v>515</v>
      </c>
      <c r="S210" s="368">
        <v>172</v>
      </c>
      <c r="T210" s="368" t="s">
        <v>515</v>
      </c>
      <c r="U210" s="368">
        <v>194</v>
      </c>
      <c r="V210" s="368" t="s">
        <v>515</v>
      </c>
      <c r="W210" s="368">
        <v>135</v>
      </c>
      <c r="X210" s="368" t="s">
        <v>515</v>
      </c>
      <c r="Y210" s="368">
        <v>100</v>
      </c>
      <c r="Z210" s="368" t="s">
        <v>515</v>
      </c>
      <c r="AA210" s="368">
        <v>93</v>
      </c>
      <c r="AB210" s="368" t="s">
        <v>515</v>
      </c>
      <c r="AC210" s="368">
        <v>183</v>
      </c>
      <c r="AD210" s="368" t="s">
        <v>515</v>
      </c>
      <c r="AE210" s="368">
        <v>116</v>
      </c>
      <c r="AF210" s="368" t="s">
        <v>515</v>
      </c>
      <c r="AG210" s="368">
        <v>266</v>
      </c>
      <c r="AH210" s="368" t="s">
        <v>515</v>
      </c>
      <c r="AI210" s="368">
        <v>517</v>
      </c>
      <c r="AJ210" s="368" t="s">
        <v>515</v>
      </c>
      <c r="AK210" s="368">
        <v>642</v>
      </c>
      <c r="AL210" s="368" t="s">
        <v>515</v>
      </c>
      <c r="AM210" s="368">
        <f>SUM(O210:AK210)</f>
        <v>3012</v>
      </c>
    </row>
    <row r="211" spans="1:39" s="90" customFormat="1" ht="18" customHeight="1" x14ac:dyDescent="0.3">
      <c r="A211" s="431">
        <v>101</v>
      </c>
      <c r="B211" s="422" t="s">
        <v>679</v>
      </c>
      <c r="C211" s="11" t="s">
        <v>512</v>
      </c>
      <c r="D211" s="156" t="s">
        <v>516</v>
      </c>
      <c r="E211" s="31" t="s">
        <v>364</v>
      </c>
      <c r="F211" s="23" t="s">
        <v>49</v>
      </c>
      <c r="G211" s="374"/>
      <c r="H211" s="133"/>
      <c r="I211" s="156"/>
      <c r="J211" s="133"/>
      <c r="K211" s="330"/>
      <c r="L211" s="330"/>
      <c r="M211" s="24"/>
      <c r="N211" s="330"/>
      <c r="O211" s="368"/>
      <c r="P211" s="368"/>
      <c r="Q211" s="368"/>
      <c r="R211" s="368"/>
      <c r="S211" s="368"/>
      <c r="T211" s="368"/>
      <c r="U211" s="368"/>
      <c r="V211" s="368"/>
      <c r="W211" s="368"/>
      <c r="X211" s="368"/>
      <c r="Y211" s="368"/>
      <c r="Z211" s="368"/>
      <c r="AA211" s="368"/>
      <c r="AB211" s="368"/>
      <c r="AC211" s="368"/>
      <c r="AD211" s="368"/>
      <c r="AE211" s="368"/>
      <c r="AF211" s="368"/>
      <c r="AG211" s="368"/>
      <c r="AH211" s="368"/>
      <c r="AI211" s="368"/>
      <c r="AJ211" s="368"/>
      <c r="AK211" s="368"/>
      <c r="AL211" s="368"/>
      <c r="AM211" s="368"/>
    </row>
    <row r="212" spans="1:39" s="90" customFormat="1" ht="18" customHeight="1" x14ac:dyDescent="0.3">
      <c r="A212" s="432"/>
      <c r="B212" s="423"/>
      <c r="C212" s="12"/>
      <c r="D212" s="156"/>
      <c r="E212" s="31" t="s">
        <v>48</v>
      </c>
      <c r="F212" s="23" t="s">
        <v>49</v>
      </c>
      <c r="G212" s="374" t="s">
        <v>534</v>
      </c>
      <c r="H212" s="133">
        <v>72</v>
      </c>
      <c r="I212" s="156"/>
      <c r="J212" s="133"/>
      <c r="K212" s="330" t="s">
        <v>218</v>
      </c>
      <c r="L212" s="330" t="s">
        <v>218</v>
      </c>
      <c r="M212" s="24">
        <v>8119</v>
      </c>
      <c r="N212" s="330">
        <v>8046</v>
      </c>
      <c r="O212" s="368">
        <v>976</v>
      </c>
      <c r="P212" s="368" t="s">
        <v>515</v>
      </c>
      <c r="Q212" s="368">
        <v>1017</v>
      </c>
      <c r="R212" s="368" t="s">
        <v>515</v>
      </c>
      <c r="S212" s="368">
        <v>679</v>
      </c>
      <c r="T212" s="368" t="s">
        <v>515</v>
      </c>
      <c r="U212" s="368">
        <v>570</v>
      </c>
      <c r="V212" s="368" t="s">
        <v>515</v>
      </c>
      <c r="W212" s="368">
        <v>396</v>
      </c>
      <c r="X212" s="368" t="s">
        <v>515</v>
      </c>
      <c r="Y212" s="368">
        <v>261</v>
      </c>
      <c r="Z212" s="368" t="s">
        <v>515</v>
      </c>
      <c r="AA212" s="368">
        <v>225</v>
      </c>
      <c r="AB212" s="368" t="s">
        <v>515</v>
      </c>
      <c r="AC212" s="368">
        <v>283</v>
      </c>
      <c r="AD212" s="368" t="s">
        <v>515</v>
      </c>
      <c r="AE212" s="368">
        <v>466</v>
      </c>
      <c r="AF212" s="368" t="s">
        <v>515</v>
      </c>
      <c r="AG212" s="368">
        <v>616</v>
      </c>
      <c r="AH212" s="368" t="s">
        <v>515</v>
      </c>
      <c r="AI212" s="368">
        <v>785</v>
      </c>
      <c r="AJ212" s="368" t="s">
        <v>515</v>
      </c>
      <c r="AK212" s="368">
        <v>926</v>
      </c>
      <c r="AL212" s="368" t="s">
        <v>515</v>
      </c>
      <c r="AM212" s="368">
        <f>SUM(O212:AK212)</f>
        <v>7200</v>
      </c>
    </row>
    <row r="213" spans="1:39" s="90" customFormat="1" ht="18" customHeight="1" x14ac:dyDescent="0.3">
      <c r="A213" s="431">
        <v>102</v>
      </c>
      <c r="B213" s="422" t="s">
        <v>680</v>
      </c>
      <c r="C213" s="11" t="s">
        <v>512</v>
      </c>
      <c r="D213" s="156" t="s">
        <v>516</v>
      </c>
      <c r="E213" s="31" t="s">
        <v>364</v>
      </c>
      <c r="F213" s="23" t="s">
        <v>49</v>
      </c>
      <c r="G213" s="374"/>
      <c r="H213" s="133"/>
      <c r="I213" s="156"/>
      <c r="J213" s="133"/>
      <c r="K213" s="330"/>
      <c r="L213" s="330"/>
      <c r="M213" s="24"/>
      <c r="N213" s="330"/>
      <c r="O213" s="368"/>
      <c r="P213" s="368"/>
      <c r="Q213" s="368"/>
      <c r="R213" s="368"/>
      <c r="S213" s="368"/>
      <c r="T213" s="368"/>
      <c r="U213" s="368"/>
      <c r="V213" s="368"/>
      <c r="W213" s="368"/>
      <c r="X213" s="368"/>
      <c r="Y213" s="368"/>
      <c r="Z213" s="368"/>
      <c r="AA213" s="368"/>
      <c r="AB213" s="368"/>
      <c r="AC213" s="368"/>
      <c r="AD213" s="368"/>
      <c r="AE213" s="368"/>
      <c r="AF213" s="368"/>
      <c r="AG213" s="368"/>
      <c r="AH213" s="368"/>
      <c r="AI213" s="368"/>
      <c r="AJ213" s="368"/>
      <c r="AK213" s="368"/>
      <c r="AL213" s="368"/>
      <c r="AM213" s="368"/>
    </row>
    <row r="214" spans="1:39" s="90" customFormat="1" ht="18" customHeight="1" x14ac:dyDescent="0.3">
      <c r="A214" s="432"/>
      <c r="B214" s="423"/>
      <c r="C214" s="12"/>
      <c r="D214" s="156"/>
      <c r="E214" s="31" t="s">
        <v>48</v>
      </c>
      <c r="F214" s="23" t="s">
        <v>49</v>
      </c>
      <c r="G214" s="374" t="s">
        <v>536</v>
      </c>
      <c r="H214" s="133">
        <v>72</v>
      </c>
      <c r="I214" s="156"/>
      <c r="J214" s="133"/>
      <c r="K214" s="330" t="s">
        <v>218</v>
      </c>
      <c r="L214" s="330" t="s">
        <v>218</v>
      </c>
      <c r="M214" s="24">
        <v>9540</v>
      </c>
      <c r="N214" s="330">
        <v>9687</v>
      </c>
      <c r="O214" s="368">
        <v>1199</v>
      </c>
      <c r="P214" s="368" t="s">
        <v>515</v>
      </c>
      <c r="Q214" s="368">
        <v>1249</v>
      </c>
      <c r="R214" s="368" t="s">
        <v>515</v>
      </c>
      <c r="S214" s="368">
        <v>899</v>
      </c>
      <c r="T214" s="368" t="s">
        <v>515</v>
      </c>
      <c r="U214" s="368">
        <v>659</v>
      </c>
      <c r="V214" s="368" t="s">
        <v>515</v>
      </c>
      <c r="W214" s="368">
        <v>392</v>
      </c>
      <c r="X214" s="368" t="s">
        <v>515</v>
      </c>
      <c r="Y214" s="368">
        <v>290</v>
      </c>
      <c r="Z214" s="368" t="s">
        <v>515</v>
      </c>
      <c r="AA214" s="368">
        <v>274</v>
      </c>
      <c r="AB214" s="368" t="s">
        <v>515</v>
      </c>
      <c r="AC214" s="368">
        <v>438</v>
      </c>
      <c r="AD214" s="368" t="s">
        <v>515</v>
      </c>
      <c r="AE214" s="368">
        <v>601</v>
      </c>
      <c r="AF214" s="368" t="s">
        <v>515</v>
      </c>
      <c r="AG214" s="368">
        <v>788</v>
      </c>
      <c r="AH214" s="368" t="s">
        <v>515</v>
      </c>
      <c r="AI214" s="368">
        <v>963</v>
      </c>
      <c r="AJ214" s="368" t="s">
        <v>515</v>
      </c>
      <c r="AK214" s="368">
        <v>1305</v>
      </c>
      <c r="AL214" s="368" t="s">
        <v>515</v>
      </c>
      <c r="AM214" s="368">
        <f>SUM(O214:AK214)</f>
        <v>9057</v>
      </c>
    </row>
    <row r="215" spans="1:39" s="90" customFormat="1" ht="18" customHeight="1" x14ac:dyDescent="0.3">
      <c r="A215" s="431">
        <v>103</v>
      </c>
      <c r="B215" s="422" t="s">
        <v>681</v>
      </c>
      <c r="C215" s="11" t="s">
        <v>512</v>
      </c>
      <c r="D215" s="156" t="s">
        <v>516</v>
      </c>
      <c r="E215" s="31" t="s">
        <v>364</v>
      </c>
      <c r="F215" s="23" t="s">
        <v>49</v>
      </c>
      <c r="G215" s="374"/>
      <c r="H215" s="133"/>
      <c r="I215" s="156"/>
      <c r="J215" s="133"/>
      <c r="K215" s="330"/>
      <c r="L215" s="330"/>
      <c r="M215" s="24"/>
      <c r="N215" s="330"/>
      <c r="O215" s="368"/>
      <c r="P215" s="368"/>
      <c r="Q215" s="368"/>
      <c r="R215" s="368"/>
      <c r="S215" s="368"/>
      <c r="T215" s="368"/>
      <c r="U215" s="368"/>
      <c r="V215" s="368"/>
      <c r="W215" s="368"/>
      <c r="X215" s="368"/>
      <c r="Y215" s="368"/>
      <c r="Z215" s="368"/>
      <c r="AA215" s="368"/>
      <c r="AB215" s="368"/>
      <c r="AC215" s="368"/>
      <c r="AD215" s="368"/>
      <c r="AE215" s="368"/>
      <c r="AF215" s="368"/>
      <c r="AG215" s="368"/>
      <c r="AH215" s="368"/>
      <c r="AI215" s="368"/>
      <c r="AJ215" s="368"/>
      <c r="AK215" s="368"/>
      <c r="AL215" s="368"/>
      <c r="AM215" s="368"/>
    </row>
    <row r="216" spans="1:39" s="90" customFormat="1" ht="18" customHeight="1" x14ac:dyDescent="0.3">
      <c r="A216" s="432"/>
      <c r="B216" s="423"/>
      <c r="C216" s="12"/>
      <c r="D216" s="156"/>
      <c r="E216" s="31" t="s">
        <v>48</v>
      </c>
      <c r="F216" s="23" t="s">
        <v>49</v>
      </c>
      <c r="G216" s="374" t="s">
        <v>534</v>
      </c>
      <c r="H216" s="133">
        <v>54</v>
      </c>
      <c r="I216" s="156"/>
      <c r="J216" s="133"/>
      <c r="K216" s="330" t="s">
        <v>218</v>
      </c>
      <c r="L216" s="330" t="s">
        <v>218</v>
      </c>
      <c r="M216" s="24">
        <v>8096</v>
      </c>
      <c r="N216" s="330">
        <v>8100</v>
      </c>
      <c r="O216" s="368">
        <v>950</v>
      </c>
      <c r="P216" s="368" t="s">
        <v>515</v>
      </c>
      <c r="Q216" s="368">
        <v>751</v>
      </c>
      <c r="R216" s="368" t="s">
        <v>515</v>
      </c>
      <c r="S216" s="368">
        <v>654</v>
      </c>
      <c r="T216" s="368" t="s">
        <v>515</v>
      </c>
      <c r="U216" s="368">
        <v>571</v>
      </c>
      <c r="V216" s="368" t="s">
        <v>515</v>
      </c>
      <c r="W216" s="368">
        <v>442</v>
      </c>
      <c r="X216" s="368" t="s">
        <v>515</v>
      </c>
      <c r="Y216" s="368">
        <v>387</v>
      </c>
      <c r="Z216" s="368" t="s">
        <v>515</v>
      </c>
      <c r="AA216" s="368">
        <v>403</v>
      </c>
      <c r="AB216" s="368" t="s">
        <v>515</v>
      </c>
      <c r="AC216" s="368">
        <v>506</v>
      </c>
      <c r="AD216" s="368" t="s">
        <v>515</v>
      </c>
      <c r="AE216" s="368">
        <v>575</v>
      </c>
      <c r="AF216" s="368" t="s">
        <v>515</v>
      </c>
      <c r="AG216" s="368">
        <v>609</v>
      </c>
      <c r="AH216" s="368" t="s">
        <v>515</v>
      </c>
      <c r="AI216" s="368">
        <v>798</v>
      </c>
      <c r="AJ216" s="368" t="s">
        <v>515</v>
      </c>
      <c r="AK216" s="368">
        <v>913</v>
      </c>
      <c r="AL216" s="368" t="s">
        <v>515</v>
      </c>
      <c r="AM216" s="368">
        <f>SUM(O216:AK216)</f>
        <v>7559</v>
      </c>
    </row>
    <row r="217" spans="1:39" s="90" customFormat="1" ht="18" customHeight="1" x14ac:dyDescent="0.3">
      <c r="A217" s="431">
        <v>104</v>
      </c>
      <c r="B217" s="422" t="s">
        <v>682</v>
      </c>
      <c r="C217" s="11" t="s">
        <v>512</v>
      </c>
      <c r="D217" s="156" t="s">
        <v>516</v>
      </c>
      <c r="E217" s="31" t="s">
        <v>364</v>
      </c>
      <c r="F217" s="23" t="s">
        <v>49</v>
      </c>
      <c r="G217" s="374"/>
      <c r="H217" s="133"/>
      <c r="I217" s="156"/>
      <c r="J217" s="133"/>
      <c r="K217" s="330" t="s">
        <v>218</v>
      </c>
      <c r="L217" s="330" t="s">
        <v>218</v>
      </c>
      <c r="M217" s="24">
        <v>14684</v>
      </c>
      <c r="N217" s="330">
        <v>15069</v>
      </c>
      <c r="O217" s="368">
        <v>1279</v>
      </c>
      <c r="P217" s="368" t="s">
        <v>515</v>
      </c>
      <c r="Q217" s="368">
        <v>1291</v>
      </c>
      <c r="R217" s="368" t="s">
        <v>515</v>
      </c>
      <c r="S217" s="368">
        <v>1223</v>
      </c>
      <c r="T217" s="368" t="s">
        <v>515</v>
      </c>
      <c r="U217" s="368">
        <v>1302</v>
      </c>
      <c r="V217" s="368" t="s">
        <v>515</v>
      </c>
      <c r="W217" s="368">
        <v>1096</v>
      </c>
      <c r="X217" s="368" t="s">
        <v>515</v>
      </c>
      <c r="Y217" s="368">
        <v>1165</v>
      </c>
      <c r="Z217" s="368" t="s">
        <v>515</v>
      </c>
      <c r="AA217" s="368">
        <v>1084</v>
      </c>
      <c r="AB217" s="368" t="s">
        <v>515</v>
      </c>
      <c r="AC217" s="368">
        <v>1079</v>
      </c>
      <c r="AD217" s="368" t="s">
        <v>515</v>
      </c>
      <c r="AE217" s="368">
        <v>1214</v>
      </c>
      <c r="AF217" s="368" t="s">
        <v>515</v>
      </c>
      <c r="AG217" s="368">
        <v>1099</v>
      </c>
      <c r="AH217" s="368" t="s">
        <v>515</v>
      </c>
      <c r="AI217" s="368">
        <v>1214</v>
      </c>
      <c r="AJ217" s="368" t="s">
        <v>515</v>
      </c>
      <c r="AK217" s="368">
        <v>1312</v>
      </c>
      <c r="AL217" s="368" t="s">
        <v>515</v>
      </c>
      <c r="AM217" s="368">
        <f>SUM(O217:AK217)</f>
        <v>14358</v>
      </c>
    </row>
    <row r="218" spans="1:39" s="90" customFormat="1" ht="18" customHeight="1" x14ac:dyDescent="0.3">
      <c r="A218" s="432"/>
      <c r="B218" s="423"/>
      <c r="C218" s="12"/>
      <c r="D218" s="156"/>
      <c r="E218" s="31" t="s">
        <v>48</v>
      </c>
      <c r="F218" s="23" t="s">
        <v>49</v>
      </c>
      <c r="G218" s="374" t="s">
        <v>519</v>
      </c>
      <c r="H218" s="133">
        <v>238</v>
      </c>
      <c r="I218" s="156" t="s">
        <v>524</v>
      </c>
      <c r="J218" s="133">
        <v>7</v>
      </c>
      <c r="K218" s="330" t="s">
        <v>218</v>
      </c>
      <c r="L218" s="330" t="s">
        <v>218</v>
      </c>
      <c r="M218" s="24">
        <v>18475</v>
      </c>
      <c r="N218" s="330">
        <v>18448</v>
      </c>
      <c r="O218" s="368">
        <v>3040</v>
      </c>
      <c r="P218" s="368" t="s">
        <v>515</v>
      </c>
      <c r="Q218" s="368">
        <v>2634</v>
      </c>
      <c r="R218" s="368" t="s">
        <v>515</v>
      </c>
      <c r="S218" s="368">
        <v>1105</v>
      </c>
      <c r="T218" s="368" t="s">
        <v>515</v>
      </c>
      <c r="U218" s="368">
        <v>984</v>
      </c>
      <c r="V218" s="368" t="s">
        <v>515</v>
      </c>
      <c r="W218" s="368">
        <v>683</v>
      </c>
      <c r="X218" s="368" t="s">
        <v>515</v>
      </c>
      <c r="Y218" s="368">
        <v>614</v>
      </c>
      <c r="Z218" s="368" t="s">
        <v>515</v>
      </c>
      <c r="AA218" s="368">
        <v>620</v>
      </c>
      <c r="AB218" s="368" t="s">
        <v>515</v>
      </c>
      <c r="AC218" s="368">
        <v>700</v>
      </c>
      <c r="AD218" s="368" t="s">
        <v>515</v>
      </c>
      <c r="AE218" s="368">
        <v>897</v>
      </c>
      <c r="AF218" s="368" t="s">
        <v>515</v>
      </c>
      <c r="AG218" s="368">
        <v>952</v>
      </c>
      <c r="AH218" s="368" t="s">
        <v>515</v>
      </c>
      <c r="AI218" s="368">
        <v>1167</v>
      </c>
      <c r="AJ218" s="368" t="s">
        <v>515</v>
      </c>
      <c r="AK218" s="368">
        <v>1343</v>
      </c>
      <c r="AL218" s="368" t="s">
        <v>515</v>
      </c>
      <c r="AM218" s="368">
        <f>SUM(O218:AK218)</f>
        <v>14739</v>
      </c>
    </row>
    <row r="219" spans="1:39" s="90" customFormat="1" ht="18" customHeight="1" x14ac:dyDescent="0.3">
      <c r="A219" s="431">
        <v>105</v>
      </c>
      <c r="B219" s="422" t="s">
        <v>683</v>
      </c>
      <c r="C219" s="11" t="s">
        <v>512</v>
      </c>
      <c r="D219" s="156" t="s">
        <v>516</v>
      </c>
      <c r="E219" s="31" t="s">
        <v>364</v>
      </c>
      <c r="F219" s="23" t="s">
        <v>49</v>
      </c>
      <c r="G219" s="374"/>
      <c r="H219" s="133"/>
      <c r="I219" s="156"/>
      <c r="J219" s="133"/>
      <c r="K219" s="330"/>
      <c r="L219" s="330"/>
      <c r="M219" s="24"/>
      <c r="N219" s="330"/>
      <c r="O219" s="368"/>
      <c r="P219" s="368"/>
      <c r="Q219" s="368"/>
      <c r="R219" s="368"/>
      <c r="S219" s="368"/>
      <c r="T219" s="368"/>
      <c r="U219" s="368"/>
      <c r="V219" s="368"/>
      <c r="W219" s="368"/>
      <c r="X219" s="368"/>
      <c r="Y219" s="368"/>
      <c r="Z219" s="368"/>
      <c r="AA219" s="368"/>
      <c r="AB219" s="368"/>
      <c r="AC219" s="368"/>
      <c r="AD219" s="368"/>
      <c r="AE219" s="368"/>
      <c r="AF219" s="368"/>
      <c r="AG219" s="368"/>
      <c r="AH219" s="368"/>
      <c r="AI219" s="368"/>
      <c r="AJ219" s="368"/>
      <c r="AK219" s="368"/>
      <c r="AL219" s="368"/>
      <c r="AM219" s="368"/>
    </row>
    <row r="220" spans="1:39" s="90" customFormat="1" ht="18" customHeight="1" x14ac:dyDescent="0.3">
      <c r="A220" s="432"/>
      <c r="B220" s="423"/>
      <c r="C220" s="12"/>
      <c r="D220" s="156"/>
      <c r="E220" s="31" t="s">
        <v>48</v>
      </c>
      <c r="F220" s="23" t="s">
        <v>49</v>
      </c>
      <c r="G220" s="374" t="s">
        <v>518</v>
      </c>
      <c r="H220" s="133">
        <v>72</v>
      </c>
      <c r="I220" s="156"/>
      <c r="J220" s="133"/>
      <c r="K220" s="330" t="s">
        <v>218</v>
      </c>
      <c r="L220" s="330" t="s">
        <v>218</v>
      </c>
      <c r="M220" s="24">
        <v>10521</v>
      </c>
      <c r="N220" s="330">
        <v>10841</v>
      </c>
      <c r="O220" s="368">
        <v>1327</v>
      </c>
      <c r="P220" s="368" t="s">
        <v>515</v>
      </c>
      <c r="Q220" s="368">
        <v>1183</v>
      </c>
      <c r="R220" s="368" t="s">
        <v>515</v>
      </c>
      <c r="S220" s="368">
        <v>862</v>
      </c>
      <c r="T220" s="368" t="s">
        <v>515</v>
      </c>
      <c r="U220" s="368">
        <v>820</v>
      </c>
      <c r="V220" s="368" t="s">
        <v>515</v>
      </c>
      <c r="W220" s="368">
        <v>546</v>
      </c>
      <c r="X220" s="368" t="s">
        <v>515</v>
      </c>
      <c r="Y220" s="368">
        <v>532</v>
      </c>
      <c r="Z220" s="368" t="s">
        <v>515</v>
      </c>
      <c r="AA220" s="368">
        <v>482</v>
      </c>
      <c r="AB220" s="368" t="s">
        <v>515</v>
      </c>
      <c r="AC220" s="368">
        <v>487</v>
      </c>
      <c r="AD220" s="368" t="s">
        <v>515</v>
      </c>
      <c r="AE220" s="368">
        <v>784</v>
      </c>
      <c r="AF220" s="368" t="s">
        <v>515</v>
      </c>
      <c r="AG220" s="368">
        <v>743</v>
      </c>
      <c r="AH220" s="368" t="s">
        <v>515</v>
      </c>
      <c r="AI220" s="368">
        <v>1017</v>
      </c>
      <c r="AJ220" s="368" t="s">
        <v>515</v>
      </c>
      <c r="AK220" s="368">
        <v>1143</v>
      </c>
      <c r="AL220" s="368" t="s">
        <v>515</v>
      </c>
      <c r="AM220" s="368">
        <f>SUM(O220:AK220)</f>
        <v>9926</v>
      </c>
    </row>
    <row r="221" spans="1:39" s="90" customFormat="1" ht="18" customHeight="1" x14ac:dyDescent="0.3">
      <c r="A221" s="431">
        <v>106</v>
      </c>
      <c r="B221" s="422" t="s">
        <v>684</v>
      </c>
      <c r="C221" s="11" t="s">
        <v>512</v>
      </c>
      <c r="D221" s="156" t="s">
        <v>516</v>
      </c>
      <c r="E221" s="31" t="s">
        <v>364</v>
      </c>
      <c r="F221" s="23" t="s">
        <v>49</v>
      </c>
      <c r="G221" s="374"/>
      <c r="H221" s="133"/>
      <c r="I221" s="156"/>
      <c r="J221" s="133"/>
      <c r="K221" s="330"/>
      <c r="L221" s="330"/>
      <c r="M221" s="24"/>
      <c r="N221" s="330"/>
      <c r="O221" s="368"/>
      <c r="P221" s="368"/>
      <c r="Q221" s="368"/>
      <c r="R221" s="368"/>
      <c r="S221" s="368"/>
      <c r="T221" s="368"/>
      <c r="U221" s="368"/>
      <c r="V221" s="368"/>
      <c r="W221" s="368"/>
      <c r="X221" s="368"/>
      <c r="Y221" s="368"/>
      <c r="Z221" s="368"/>
      <c r="AA221" s="368"/>
      <c r="AB221" s="368"/>
      <c r="AC221" s="368"/>
      <c r="AD221" s="368"/>
      <c r="AE221" s="368"/>
      <c r="AF221" s="368"/>
      <c r="AG221" s="368"/>
      <c r="AH221" s="368"/>
      <c r="AI221" s="368"/>
      <c r="AJ221" s="368"/>
      <c r="AK221" s="368"/>
      <c r="AL221" s="368"/>
      <c r="AM221" s="368"/>
    </row>
    <row r="222" spans="1:39" s="90" customFormat="1" ht="18" customHeight="1" x14ac:dyDescent="0.3">
      <c r="A222" s="432"/>
      <c r="B222" s="423"/>
      <c r="C222" s="12"/>
      <c r="D222" s="156"/>
      <c r="E222" s="31" t="s">
        <v>48</v>
      </c>
      <c r="F222" s="23" t="s">
        <v>49</v>
      </c>
      <c r="G222" s="374" t="s">
        <v>518</v>
      </c>
      <c r="H222" s="133">
        <v>96</v>
      </c>
      <c r="I222" s="156"/>
      <c r="J222" s="133"/>
      <c r="K222" s="330" t="s">
        <v>218</v>
      </c>
      <c r="L222" s="330" t="s">
        <v>218</v>
      </c>
      <c r="M222" s="24">
        <v>13069</v>
      </c>
      <c r="N222" s="330">
        <v>12991</v>
      </c>
      <c r="O222" s="368">
        <v>1318</v>
      </c>
      <c r="P222" s="368" t="s">
        <v>515</v>
      </c>
      <c r="Q222" s="368">
        <v>1351</v>
      </c>
      <c r="R222" s="368" t="s">
        <v>515</v>
      </c>
      <c r="S222" s="368">
        <v>873</v>
      </c>
      <c r="T222" s="368" t="s">
        <v>515</v>
      </c>
      <c r="U222" s="368">
        <v>889</v>
      </c>
      <c r="V222" s="368" t="s">
        <v>515</v>
      </c>
      <c r="W222" s="368">
        <v>607</v>
      </c>
      <c r="X222" s="368" t="s">
        <v>515</v>
      </c>
      <c r="Y222" s="368">
        <v>524</v>
      </c>
      <c r="Z222" s="368" t="s">
        <v>515</v>
      </c>
      <c r="AA222" s="368">
        <v>526</v>
      </c>
      <c r="AB222" s="368" t="s">
        <v>515</v>
      </c>
      <c r="AC222" s="368">
        <v>586</v>
      </c>
      <c r="AD222" s="368" t="s">
        <v>515</v>
      </c>
      <c r="AE222" s="368">
        <v>835</v>
      </c>
      <c r="AF222" s="368" t="s">
        <v>515</v>
      </c>
      <c r="AG222" s="368">
        <v>739</v>
      </c>
      <c r="AH222" s="368" t="s">
        <v>515</v>
      </c>
      <c r="AI222" s="368">
        <v>1263</v>
      </c>
      <c r="AJ222" s="368" t="s">
        <v>515</v>
      </c>
      <c r="AK222" s="368">
        <v>1128</v>
      </c>
      <c r="AL222" s="368" t="s">
        <v>515</v>
      </c>
      <c r="AM222" s="368">
        <f>SUM(O222:AK222)</f>
        <v>10639</v>
      </c>
    </row>
    <row r="223" spans="1:39" s="90" customFormat="1" ht="18" customHeight="1" x14ac:dyDescent="0.3">
      <c r="A223" s="431">
        <v>107</v>
      </c>
      <c r="B223" s="422" t="s">
        <v>685</v>
      </c>
      <c r="C223" s="11" t="s">
        <v>512</v>
      </c>
      <c r="D223" s="156" t="s">
        <v>516</v>
      </c>
      <c r="E223" s="31" t="s">
        <v>364</v>
      </c>
      <c r="F223" s="23" t="s">
        <v>49</v>
      </c>
      <c r="G223" s="374"/>
      <c r="H223" s="133"/>
      <c r="I223" s="156"/>
      <c r="J223" s="133"/>
      <c r="K223" s="330" t="s">
        <v>218</v>
      </c>
      <c r="L223" s="330" t="s">
        <v>218</v>
      </c>
      <c r="M223" s="24">
        <v>0</v>
      </c>
      <c r="N223" s="330">
        <v>0</v>
      </c>
      <c r="O223" s="368"/>
      <c r="P223" s="368"/>
      <c r="Q223" s="368"/>
      <c r="R223" s="368"/>
      <c r="S223" s="368"/>
      <c r="T223" s="368"/>
      <c r="U223" s="368"/>
      <c r="V223" s="368"/>
      <c r="W223" s="368"/>
      <c r="X223" s="368"/>
      <c r="Y223" s="368"/>
      <c r="Z223" s="368"/>
      <c r="AA223" s="368"/>
      <c r="AB223" s="368"/>
      <c r="AC223" s="368"/>
      <c r="AD223" s="368"/>
      <c r="AE223" s="368">
        <v>650</v>
      </c>
      <c r="AF223" s="368" t="s">
        <v>515</v>
      </c>
      <c r="AG223" s="368">
        <v>773</v>
      </c>
      <c r="AH223" s="368" t="s">
        <v>515</v>
      </c>
      <c r="AI223" s="368">
        <v>693</v>
      </c>
      <c r="AJ223" s="368" t="s">
        <v>515</v>
      </c>
      <c r="AK223" s="368">
        <v>759</v>
      </c>
      <c r="AL223" s="368" t="s">
        <v>515</v>
      </c>
      <c r="AM223" s="368"/>
    </row>
    <row r="224" spans="1:39" s="90" customFormat="1" ht="18" customHeight="1" x14ac:dyDescent="0.3">
      <c r="A224" s="432"/>
      <c r="B224" s="423"/>
      <c r="C224" s="12"/>
      <c r="D224" s="156"/>
      <c r="E224" s="31" t="s">
        <v>48</v>
      </c>
      <c r="F224" s="23" t="s">
        <v>49</v>
      </c>
      <c r="G224" s="374" t="s">
        <v>551</v>
      </c>
      <c r="H224" s="133">
        <v>297</v>
      </c>
      <c r="I224" s="156"/>
      <c r="J224" s="133"/>
      <c r="K224" s="330" t="s">
        <v>218</v>
      </c>
      <c r="L224" s="330" t="s">
        <v>218</v>
      </c>
      <c r="M224" s="24">
        <v>0</v>
      </c>
      <c r="N224" s="330">
        <v>0</v>
      </c>
      <c r="O224" s="368"/>
      <c r="P224" s="368"/>
      <c r="Q224" s="368"/>
      <c r="R224" s="368"/>
      <c r="S224" s="368"/>
      <c r="T224" s="368"/>
      <c r="U224" s="368"/>
      <c r="V224" s="368"/>
      <c r="W224" s="368"/>
      <c r="X224" s="368"/>
      <c r="Y224" s="368"/>
      <c r="Z224" s="368"/>
      <c r="AA224" s="368"/>
      <c r="AB224" s="368"/>
      <c r="AC224" s="368"/>
      <c r="AD224" s="368"/>
      <c r="AE224" s="368">
        <v>1485</v>
      </c>
      <c r="AF224" s="368" t="s">
        <v>515</v>
      </c>
      <c r="AG224" s="368">
        <v>3116</v>
      </c>
      <c r="AH224" s="368" t="s">
        <v>515</v>
      </c>
      <c r="AI224" s="368">
        <v>3781</v>
      </c>
      <c r="AJ224" s="368" t="s">
        <v>515</v>
      </c>
      <c r="AK224" s="368">
        <v>3773</v>
      </c>
      <c r="AL224" s="368" t="s">
        <v>515</v>
      </c>
      <c r="AM224" s="368"/>
    </row>
    <row r="225" spans="1:39" s="90" customFormat="1" ht="18" customHeight="1" x14ac:dyDescent="0.3">
      <c r="A225" s="431">
        <v>108</v>
      </c>
      <c r="B225" s="422" t="s">
        <v>686</v>
      </c>
      <c r="C225" s="11" t="s">
        <v>512</v>
      </c>
      <c r="D225" s="156" t="s">
        <v>552</v>
      </c>
      <c r="E225" s="31" t="s">
        <v>364</v>
      </c>
      <c r="F225" s="23" t="s">
        <v>49</v>
      </c>
      <c r="G225" s="374"/>
      <c r="H225" s="133"/>
      <c r="I225" s="156"/>
      <c r="J225" s="133"/>
      <c r="K225" s="330"/>
      <c r="L225" s="330"/>
      <c r="M225" s="24"/>
      <c r="N225" s="330"/>
      <c r="O225" s="368"/>
      <c r="P225" s="368"/>
      <c r="Q225" s="368"/>
      <c r="R225" s="368"/>
      <c r="S225" s="368"/>
      <c r="T225" s="368"/>
      <c r="U225" s="368"/>
      <c r="V225" s="368"/>
      <c r="W225" s="368"/>
      <c r="X225" s="368"/>
      <c r="Y225" s="368"/>
      <c r="Z225" s="368"/>
      <c r="AA225" s="368"/>
      <c r="AB225" s="368"/>
      <c r="AC225" s="368"/>
      <c r="AD225" s="368"/>
      <c r="AE225" s="368"/>
      <c r="AF225" s="368"/>
      <c r="AG225" s="368"/>
      <c r="AH225" s="368"/>
      <c r="AI225" s="368"/>
      <c r="AJ225" s="368"/>
      <c r="AK225" s="368"/>
      <c r="AL225" s="368"/>
      <c r="AM225" s="368"/>
    </row>
    <row r="226" spans="1:39" s="90" customFormat="1" ht="18" customHeight="1" x14ac:dyDescent="0.3">
      <c r="A226" s="432"/>
      <c r="B226" s="423"/>
      <c r="C226" s="12"/>
      <c r="D226" s="156"/>
      <c r="E226" s="31" t="s">
        <v>48</v>
      </c>
      <c r="F226" s="23" t="s">
        <v>49</v>
      </c>
      <c r="G226" s="374" t="s">
        <v>553</v>
      </c>
      <c r="H226" s="133">
        <v>100</v>
      </c>
      <c r="I226" s="156"/>
      <c r="J226" s="133"/>
      <c r="K226" s="330" t="s">
        <v>218</v>
      </c>
      <c r="L226" s="330" t="s">
        <v>218</v>
      </c>
      <c r="M226" s="24">
        <v>9490</v>
      </c>
      <c r="N226" s="330">
        <v>11147</v>
      </c>
      <c r="O226" s="368">
        <v>1384</v>
      </c>
      <c r="P226" s="368" t="s">
        <v>515</v>
      </c>
      <c r="Q226" s="368">
        <v>1269</v>
      </c>
      <c r="R226" s="368" t="s">
        <v>515</v>
      </c>
      <c r="S226" s="368">
        <v>829</v>
      </c>
      <c r="T226" s="368" t="s">
        <v>515</v>
      </c>
      <c r="U226" s="368">
        <v>1100</v>
      </c>
      <c r="V226" s="368" t="s">
        <v>515</v>
      </c>
      <c r="W226" s="368">
        <v>814</v>
      </c>
      <c r="X226" s="368" t="s">
        <v>515</v>
      </c>
      <c r="Y226" s="368">
        <v>717</v>
      </c>
      <c r="Z226" s="368" t="s">
        <v>515</v>
      </c>
      <c r="AA226" s="368">
        <v>679</v>
      </c>
      <c r="AB226" s="368" t="s">
        <v>515</v>
      </c>
      <c r="AC226" s="368">
        <v>687</v>
      </c>
      <c r="AD226" s="368" t="s">
        <v>515</v>
      </c>
      <c r="AE226" s="368">
        <v>1001</v>
      </c>
      <c r="AF226" s="368" t="s">
        <v>515</v>
      </c>
      <c r="AG226" s="368">
        <v>1052</v>
      </c>
      <c r="AH226" s="368" t="s">
        <v>515</v>
      </c>
      <c r="AI226" s="368">
        <v>1126</v>
      </c>
      <c r="AJ226" s="368" t="s">
        <v>515</v>
      </c>
      <c r="AK226" s="368">
        <v>1250</v>
      </c>
      <c r="AL226" s="368" t="s">
        <v>515</v>
      </c>
      <c r="AM226" s="368">
        <f t="shared" ref="AM226:AM234" si="5">SUM(O226:AK226)</f>
        <v>11908</v>
      </c>
    </row>
    <row r="227" spans="1:39" s="90" customFormat="1" ht="18" customHeight="1" x14ac:dyDescent="0.3">
      <c r="A227" s="431">
        <v>109</v>
      </c>
      <c r="B227" s="422" t="s">
        <v>687</v>
      </c>
      <c r="C227" s="11" t="s">
        <v>512</v>
      </c>
      <c r="D227" s="156" t="s">
        <v>516</v>
      </c>
      <c r="E227" s="31" t="s">
        <v>364</v>
      </c>
      <c r="F227" s="23" t="s">
        <v>49</v>
      </c>
      <c r="G227" s="374"/>
      <c r="H227" s="133"/>
      <c r="I227" s="156"/>
      <c r="J227" s="133"/>
      <c r="K227" s="330" t="s">
        <v>218</v>
      </c>
      <c r="L227" s="330" t="s">
        <v>218</v>
      </c>
      <c r="M227" s="24">
        <v>6398</v>
      </c>
      <c r="N227" s="330">
        <v>6633</v>
      </c>
      <c r="O227" s="368">
        <v>539</v>
      </c>
      <c r="P227" s="368" t="s">
        <v>515</v>
      </c>
      <c r="Q227" s="368">
        <v>585</v>
      </c>
      <c r="R227" s="368" t="s">
        <v>515</v>
      </c>
      <c r="S227" s="368">
        <v>496</v>
      </c>
      <c r="T227" s="368" t="s">
        <v>515</v>
      </c>
      <c r="U227" s="368">
        <v>535</v>
      </c>
      <c r="V227" s="368" t="s">
        <v>515</v>
      </c>
      <c r="W227" s="368">
        <v>513</v>
      </c>
      <c r="X227" s="368" t="s">
        <v>515</v>
      </c>
      <c r="Y227" s="368">
        <v>464</v>
      </c>
      <c r="Z227" s="368" t="s">
        <v>515</v>
      </c>
      <c r="AA227" s="368">
        <v>490</v>
      </c>
      <c r="AB227" s="368" t="s">
        <v>515</v>
      </c>
      <c r="AC227" s="368">
        <v>425</v>
      </c>
      <c r="AD227" s="368" t="s">
        <v>515</v>
      </c>
      <c r="AE227" s="368">
        <v>531</v>
      </c>
      <c r="AF227" s="368" t="s">
        <v>515</v>
      </c>
      <c r="AG227" s="368">
        <v>459</v>
      </c>
      <c r="AH227" s="368" t="s">
        <v>515</v>
      </c>
      <c r="AI227" s="368">
        <v>486</v>
      </c>
      <c r="AJ227" s="368" t="s">
        <v>515</v>
      </c>
      <c r="AK227" s="368">
        <v>515</v>
      </c>
      <c r="AL227" s="368" t="s">
        <v>515</v>
      </c>
      <c r="AM227" s="368">
        <f t="shared" si="5"/>
        <v>6038</v>
      </c>
    </row>
    <row r="228" spans="1:39" s="90" customFormat="1" ht="18" customHeight="1" x14ac:dyDescent="0.3">
      <c r="A228" s="432"/>
      <c r="B228" s="423"/>
      <c r="C228" s="12"/>
      <c r="D228" s="156"/>
      <c r="E228" s="31" t="s">
        <v>48</v>
      </c>
      <c r="F228" s="23" t="s">
        <v>49</v>
      </c>
      <c r="G228" s="374" t="s">
        <v>527</v>
      </c>
      <c r="H228" s="133">
        <v>162</v>
      </c>
      <c r="I228" s="156"/>
      <c r="J228" s="133"/>
      <c r="K228" s="330" t="s">
        <v>218</v>
      </c>
      <c r="L228" s="330" t="s">
        <v>218</v>
      </c>
      <c r="M228" s="24">
        <v>50388</v>
      </c>
      <c r="N228" s="330">
        <v>51479</v>
      </c>
      <c r="O228" s="368">
        <v>4375</v>
      </c>
      <c r="P228" s="368" t="s">
        <v>515</v>
      </c>
      <c r="Q228" s="368">
        <v>4898</v>
      </c>
      <c r="R228" s="368" t="s">
        <v>515</v>
      </c>
      <c r="S228" s="368">
        <v>4107</v>
      </c>
      <c r="T228" s="368" t="s">
        <v>515</v>
      </c>
      <c r="U228" s="368">
        <v>4046</v>
      </c>
      <c r="V228" s="368" t="s">
        <v>515</v>
      </c>
      <c r="W228" s="368">
        <v>4045</v>
      </c>
      <c r="X228" s="368" t="s">
        <v>515</v>
      </c>
      <c r="Y228" s="368">
        <v>3386</v>
      </c>
      <c r="Z228" s="368" t="s">
        <v>515</v>
      </c>
      <c r="AA228" s="368">
        <v>4094</v>
      </c>
      <c r="AB228" s="368" t="s">
        <v>515</v>
      </c>
      <c r="AC228" s="368">
        <v>3655</v>
      </c>
      <c r="AD228" s="368" t="s">
        <v>515</v>
      </c>
      <c r="AE228" s="368">
        <v>4018</v>
      </c>
      <c r="AF228" s="368" t="s">
        <v>515</v>
      </c>
      <c r="AG228" s="368">
        <v>3607</v>
      </c>
      <c r="AH228" s="368" t="s">
        <v>515</v>
      </c>
      <c r="AI228" s="368">
        <v>3597</v>
      </c>
      <c r="AJ228" s="368" t="s">
        <v>515</v>
      </c>
      <c r="AK228" s="368">
        <v>3922</v>
      </c>
      <c r="AL228" s="368" t="s">
        <v>515</v>
      </c>
      <c r="AM228" s="368">
        <f t="shared" si="5"/>
        <v>47750</v>
      </c>
    </row>
    <row r="229" spans="1:39" s="90" customFormat="1" ht="18" customHeight="1" x14ac:dyDescent="0.3">
      <c r="A229" s="431">
        <v>110</v>
      </c>
      <c r="B229" s="422" t="s">
        <v>688</v>
      </c>
      <c r="C229" s="11" t="s">
        <v>512</v>
      </c>
      <c r="D229" s="156" t="s">
        <v>516</v>
      </c>
      <c r="E229" s="31" t="s">
        <v>364</v>
      </c>
      <c r="F229" s="23" t="s">
        <v>49</v>
      </c>
      <c r="G229" s="374"/>
      <c r="H229" s="133"/>
      <c r="I229" s="156"/>
      <c r="J229" s="133"/>
      <c r="K229" s="330" t="s">
        <v>218</v>
      </c>
      <c r="L229" s="330" t="s">
        <v>218</v>
      </c>
      <c r="M229" s="24">
        <v>20830</v>
      </c>
      <c r="N229" s="330">
        <v>21800</v>
      </c>
      <c r="O229" s="368">
        <v>1790</v>
      </c>
      <c r="P229" s="368" t="s">
        <v>515</v>
      </c>
      <c r="Q229" s="368">
        <v>1930</v>
      </c>
      <c r="R229" s="368" t="s">
        <v>515</v>
      </c>
      <c r="S229" s="368">
        <v>1550</v>
      </c>
      <c r="T229" s="368" t="s">
        <v>515</v>
      </c>
      <c r="U229" s="368">
        <v>2040</v>
      </c>
      <c r="V229" s="368" t="s">
        <v>515</v>
      </c>
      <c r="W229" s="368">
        <v>1920</v>
      </c>
      <c r="X229" s="368" t="s">
        <v>515</v>
      </c>
      <c r="Y229" s="368">
        <v>1800</v>
      </c>
      <c r="Z229" s="368" t="s">
        <v>515</v>
      </c>
      <c r="AA229" s="368">
        <v>1690</v>
      </c>
      <c r="AB229" s="368" t="s">
        <v>515</v>
      </c>
      <c r="AC229" s="368">
        <v>1670</v>
      </c>
      <c r="AD229" s="368" t="s">
        <v>515</v>
      </c>
      <c r="AE229" s="368">
        <v>2130</v>
      </c>
      <c r="AF229" s="368" t="s">
        <v>515</v>
      </c>
      <c r="AG229" s="368">
        <v>2000</v>
      </c>
      <c r="AH229" s="368" t="s">
        <v>515</v>
      </c>
      <c r="AI229" s="368">
        <v>1800</v>
      </c>
      <c r="AJ229" s="368" t="s">
        <v>515</v>
      </c>
      <c r="AK229" s="368">
        <v>1960</v>
      </c>
      <c r="AL229" s="368" t="s">
        <v>515</v>
      </c>
      <c r="AM229" s="368">
        <f t="shared" si="5"/>
        <v>22280</v>
      </c>
    </row>
    <row r="230" spans="1:39" s="90" customFormat="1" ht="18" customHeight="1" x14ac:dyDescent="0.3">
      <c r="A230" s="432"/>
      <c r="B230" s="423"/>
      <c r="C230" s="12"/>
      <c r="D230" s="156"/>
      <c r="E230" s="31" t="s">
        <v>48</v>
      </c>
      <c r="F230" s="23" t="s">
        <v>49</v>
      </c>
      <c r="G230" s="374" t="s">
        <v>519</v>
      </c>
      <c r="H230" s="133">
        <v>315</v>
      </c>
      <c r="I230" s="156" t="s">
        <v>524</v>
      </c>
      <c r="J230" s="133">
        <v>9</v>
      </c>
      <c r="K230" s="330" t="s">
        <v>218</v>
      </c>
      <c r="L230" s="330" t="s">
        <v>218</v>
      </c>
      <c r="M230" s="24">
        <v>15691</v>
      </c>
      <c r="N230" s="330">
        <v>16604</v>
      </c>
      <c r="O230" s="368">
        <v>541</v>
      </c>
      <c r="P230" s="368" t="s">
        <v>515</v>
      </c>
      <c r="Q230" s="368">
        <v>536</v>
      </c>
      <c r="R230" s="368" t="s">
        <v>515</v>
      </c>
      <c r="S230" s="368">
        <v>459</v>
      </c>
      <c r="T230" s="368" t="s">
        <v>515</v>
      </c>
      <c r="U230" s="368">
        <v>775</v>
      </c>
      <c r="V230" s="368" t="s">
        <v>515</v>
      </c>
      <c r="W230" s="368">
        <v>879</v>
      </c>
      <c r="X230" s="368" t="s">
        <v>515</v>
      </c>
      <c r="Y230" s="368">
        <v>688</v>
      </c>
      <c r="Z230" s="368" t="s">
        <v>515</v>
      </c>
      <c r="AA230" s="368">
        <v>485</v>
      </c>
      <c r="AB230" s="368" t="s">
        <v>515</v>
      </c>
      <c r="AC230" s="368">
        <v>430</v>
      </c>
      <c r="AD230" s="368" t="s">
        <v>515</v>
      </c>
      <c r="AE230" s="368">
        <v>316</v>
      </c>
      <c r="AF230" s="368" t="s">
        <v>515</v>
      </c>
      <c r="AG230" s="368">
        <v>607</v>
      </c>
      <c r="AH230" s="368" t="s">
        <v>515</v>
      </c>
      <c r="AI230" s="368">
        <v>605</v>
      </c>
      <c r="AJ230" s="368" t="s">
        <v>515</v>
      </c>
      <c r="AK230" s="368">
        <v>562</v>
      </c>
      <c r="AL230" s="368" t="s">
        <v>515</v>
      </c>
      <c r="AM230" s="368">
        <f t="shared" si="5"/>
        <v>6883</v>
      </c>
    </row>
    <row r="231" spans="1:39" s="90" customFormat="1" ht="18" customHeight="1" x14ac:dyDescent="0.3">
      <c r="A231" s="431">
        <v>111</v>
      </c>
      <c r="B231" s="422" t="s">
        <v>689</v>
      </c>
      <c r="C231" s="11" t="s">
        <v>512</v>
      </c>
      <c r="D231" s="156" t="s">
        <v>516</v>
      </c>
      <c r="E231" s="31" t="s">
        <v>364</v>
      </c>
      <c r="F231" s="23" t="s">
        <v>49</v>
      </c>
      <c r="G231" s="374"/>
      <c r="H231" s="133"/>
      <c r="I231" s="156"/>
      <c r="J231" s="133"/>
      <c r="K231" s="330" t="s">
        <v>218</v>
      </c>
      <c r="L231" s="330" t="s">
        <v>218</v>
      </c>
      <c r="M231" s="24">
        <v>14851</v>
      </c>
      <c r="N231" s="330">
        <v>12406</v>
      </c>
      <c r="O231" s="368">
        <v>892</v>
      </c>
      <c r="P231" s="368" t="s">
        <v>515</v>
      </c>
      <c r="Q231" s="368">
        <v>918</v>
      </c>
      <c r="R231" s="368" t="s">
        <v>515</v>
      </c>
      <c r="S231" s="368">
        <v>870</v>
      </c>
      <c r="T231" s="368" t="s">
        <v>515</v>
      </c>
      <c r="U231" s="368">
        <v>919</v>
      </c>
      <c r="V231" s="368" t="s">
        <v>515</v>
      </c>
      <c r="W231" s="368">
        <v>811</v>
      </c>
      <c r="X231" s="368" t="s">
        <v>515</v>
      </c>
      <c r="Y231" s="368">
        <v>886</v>
      </c>
      <c r="Z231" s="368" t="s">
        <v>515</v>
      </c>
      <c r="AA231" s="368">
        <v>910</v>
      </c>
      <c r="AB231" s="368" t="s">
        <v>515</v>
      </c>
      <c r="AC231" s="368">
        <v>828</v>
      </c>
      <c r="AD231" s="368" t="s">
        <v>515</v>
      </c>
      <c r="AE231" s="368">
        <v>937</v>
      </c>
      <c r="AF231" s="368" t="s">
        <v>515</v>
      </c>
      <c r="AG231" s="368">
        <v>815</v>
      </c>
      <c r="AH231" s="368" t="s">
        <v>515</v>
      </c>
      <c r="AI231" s="368">
        <v>830</v>
      </c>
      <c r="AJ231" s="368" t="s">
        <v>515</v>
      </c>
      <c r="AK231" s="368">
        <v>888</v>
      </c>
      <c r="AL231" s="368" t="s">
        <v>515</v>
      </c>
      <c r="AM231" s="368">
        <f t="shared" si="5"/>
        <v>10504</v>
      </c>
    </row>
    <row r="232" spans="1:39" s="90" customFormat="1" ht="18" customHeight="1" x14ac:dyDescent="0.3">
      <c r="A232" s="432"/>
      <c r="B232" s="423"/>
      <c r="C232" s="12"/>
      <c r="D232" s="156"/>
      <c r="E232" s="31" t="s">
        <v>48</v>
      </c>
      <c r="F232" s="23" t="s">
        <v>49</v>
      </c>
      <c r="G232" s="374" t="s">
        <v>554</v>
      </c>
      <c r="H232" s="133">
        <v>204</v>
      </c>
      <c r="I232" s="156"/>
      <c r="J232" s="133"/>
      <c r="K232" s="330" t="s">
        <v>218</v>
      </c>
      <c r="L232" s="330" t="s">
        <v>218</v>
      </c>
      <c r="M232" s="24">
        <v>9586</v>
      </c>
      <c r="N232" s="330">
        <v>11929</v>
      </c>
      <c r="O232" s="368">
        <v>1341</v>
      </c>
      <c r="P232" s="368" t="s">
        <v>515</v>
      </c>
      <c r="Q232" s="368">
        <v>1004</v>
      </c>
      <c r="R232" s="368" t="s">
        <v>515</v>
      </c>
      <c r="S232" s="368">
        <v>876</v>
      </c>
      <c r="T232" s="368" t="s">
        <v>515</v>
      </c>
      <c r="U232" s="368">
        <v>953</v>
      </c>
      <c r="V232" s="368" t="s">
        <v>515</v>
      </c>
      <c r="W232" s="368">
        <v>891</v>
      </c>
      <c r="X232" s="368" t="s">
        <v>515</v>
      </c>
      <c r="Y232" s="368">
        <v>884</v>
      </c>
      <c r="Z232" s="368" t="s">
        <v>515</v>
      </c>
      <c r="AA232" s="368">
        <v>1095</v>
      </c>
      <c r="AB232" s="368" t="s">
        <v>515</v>
      </c>
      <c r="AC232" s="368">
        <v>1152</v>
      </c>
      <c r="AD232" s="368" t="s">
        <v>515</v>
      </c>
      <c r="AE232" s="368">
        <v>1163</v>
      </c>
      <c r="AF232" s="368" t="s">
        <v>515</v>
      </c>
      <c r="AG232" s="368">
        <v>934</v>
      </c>
      <c r="AH232" s="368" t="s">
        <v>515</v>
      </c>
      <c r="AI232" s="368">
        <v>926</v>
      </c>
      <c r="AJ232" s="368" t="s">
        <v>515</v>
      </c>
      <c r="AK232" s="368">
        <v>943</v>
      </c>
      <c r="AL232" s="368" t="s">
        <v>515</v>
      </c>
      <c r="AM232" s="368">
        <f t="shared" si="5"/>
        <v>12162</v>
      </c>
    </row>
    <row r="233" spans="1:39" s="90" customFormat="1" ht="18" customHeight="1" x14ac:dyDescent="0.3">
      <c r="A233" s="431">
        <v>112</v>
      </c>
      <c r="B233" s="422" t="s">
        <v>690</v>
      </c>
      <c r="C233" s="11" t="s">
        <v>512</v>
      </c>
      <c r="D233" s="156" t="s">
        <v>516</v>
      </c>
      <c r="E233" s="31" t="s">
        <v>364</v>
      </c>
      <c r="F233" s="23" t="s">
        <v>49</v>
      </c>
      <c r="G233" s="374"/>
      <c r="H233" s="133"/>
      <c r="I233" s="156"/>
      <c r="J233" s="133"/>
      <c r="K233" s="330" t="s">
        <v>218</v>
      </c>
      <c r="L233" s="330" t="s">
        <v>218</v>
      </c>
      <c r="M233" s="24">
        <v>35820</v>
      </c>
      <c r="N233" s="330">
        <v>36550</v>
      </c>
      <c r="O233" s="368">
        <v>2930</v>
      </c>
      <c r="P233" s="368" t="s">
        <v>515</v>
      </c>
      <c r="Q233" s="368">
        <v>2930</v>
      </c>
      <c r="R233" s="368" t="s">
        <v>515</v>
      </c>
      <c r="S233" s="368">
        <v>2630</v>
      </c>
      <c r="T233" s="368" t="s">
        <v>515</v>
      </c>
      <c r="U233" s="368">
        <v>3110</v>
      </c>
      <c r="V233" s="368" t="s">
        <v>515</v>
      </c>
      <c r="W233" s="368">
        <v>3350</v>
      </c>
      <c r="X233" s="368" t="s">
        <v>515</v>
      </c>
      <c r="Y233" s="368">
        <v>2120</v>
      </c>
      <c r="Z233" s="368" t="s">
        <v>515</v>
      </c>
      <c r="AA233" s="368">
        <v>2510</v>
      </c>
      <c r="AB233" s="368" t="s">
        <v>515</v>
      </c>
      <c r="AC233" s="368">
        <v>2520</v>
      </c>
      <c r="AD233" s="368" t="s">
        <v>515</v>
      </c>
      <c r="AE233" s="368">
        <v>2780</v>
      </c>
      <c r="AF233" s="368" t="s">
        <v>515</v>
      </c>
      <c r="AG233" s="368">
        <v>2920</v>
      </c>
      <c r="AH233" s="368" t="s">
        <v>515</v>
      </c>
      <c r="AI233" s="368">
        <v>2660</v>
      </c>
      <c r="AJ233" s="368" t="s">
        <v>515</v>
      </c>
      <c r="AK233" s="368">
        <v>2890</v>
      </c>
      <c r="AL233" s="368" t="s">
        <v>515</v>
      </c>
      <c r="AM233" s="368">
        <f t="shared" si="5"/>
        <v>33350</v>
      </c>
    </row>
    <row r="234" spans="1:39" s="90" customFormat="1" ht="18" customHeight="1" x14ac:dyDescent="0.3">
      <c r="A234" s="432"/>
      <c r="B234" s="423"/>
      <c r="C234" s="12"/>
      <c r="D234" s="156"/>
      <c r="E234" s="31" t="s">
        <v>48</v>
      </c>
      <c r="F234" s="23" t="s">
        <v>49</v>
      </c>
      <c r="G234" s="374" t="s">
        <v>531</v>
      </c>
      <c r="H234" s="133">
        <v>174</v>
      </c>
      <c r="I234" s="156"/>
      <c r="J234" s="133"/>
      <c r="K234" s="330" t="s">
        <v>218</v>
      </c>
      <c r="L234" s="330" t="s">
        <v>218</v>
      </c>
      <c r="M234" s="24">
        <v>25140</v>
      </c>
      <c r="N234" s="330">
        <v>19082</v>
      </c>
      <c r="O234" s="368">
        <v>1984</v>
      </c>
      <c r="P234" s="368" t="s">
        <v>515</v>
      </c>
      <c r="Q234" s="368">
        <v>1698</v>
      </c>
      <c r="R234" s="368" t="s">
        <v>515</v>
      </c>
      <c r="S234" s="368">
        <v>1443</v>
      </c>
      <c r="T234" s="368" t="s">
        <v>515</v>
      </c>
      <c r="U234" s="368">
        <v>1698</v>
      </c>
      <c r="V234" s="368" t="s">
        <v>515</v>
      </c>
      <c r="W234" s="368">
        <v>1317</v>
      </c>
      <c r="X234" s="368" t="s">
        <v>515</v>
      </c>
      <c r="Y234" s="368">
        <v>1674</v>
      </c>
      <c r="Z234" s="368" t="s">
        <v>515</v>
      </c>
      <c r="AA234" s="368">
        <v>1397</v>
      </c>
      <c r="AB234" s="368" t="s">
        <v>515</v>
      </c>
      <c r="AC234" s="368">
        <v>1296</v>
      </c>
      <c r="AD234" s="368" t="s">
        <v>515</v>
      </c>
      <c r="AE234" s="368">
        <v>1372</v>
      </c>
      <c r="AF234" s="368" t="s">
        <v>515</v>
      </c>
      <c r="AG234" s="368">
        <v>1507</v>
      </c>
      <c r="AH234" s="368" t="s">
        <v>515</v>
      </c>
      <c r="AI234" s="368">
        <v>1467</v>
      </c>
      <c r="AJ234" s="368" t="s">
        <v>515</v>
      </c>
      <c r="AK234" s="368">
        <v>1565</v>
      </c>
      <c r="AL234" s="368" t="s">
        <v>515</v>
      </c>
      <c r="AM234" s="368">
        <f t="shared" si="5"/>
        <v>18418</v>
      </c>
    </row>
    <row r="235" spans="1:39" s="90" customFormat="1" ht="18" customHeight="1" x14ac:dyDescent="0.3">
      <c r="A235" s="431">
        <v>113</v>
      </c>
      <c r="B235" s="422" t="s">
        <v>691</v>
      </c>
      <c r="C235" s="11" t="s">
        <v>512</v>
      </c>
      <c r="D235" s="156" t="s">
        <v>516</v>
      </c>
      <c r="E235" s="31" t="s">
        <v>364</v>
      </c>
      <c r="F235" s="23" t="s">
        <v>49</v>
      </c>
      <c r="G235" s="374"/>
      <c r="H235" s="133"/>
      <c r="I235" s="156"/>
      <c r="J235" s="133"/>
      <c r="K235" s="330"/>
      <c r="L235" s="330"/>
      <c r="M235" s="24"/>
      <c r="N235" s="330"/>
      <c r="O235" s="368"/>
      <c r="P235" s="368"/>
      <c r="Q235" s="368"/>
      <c r="R235" s="368"/>
      <c r="S235" s="368"/>
      <c r="T235" s="368"/>
      <c r="U235" s="368"/>
      <c r="V235" s="368"/>
      <c r="W235" s="368"/>
      <c r="X235" s="368"/>
      <c r="Y235" s="368"/>
      <c r="Z235" s="368"/>
      <c r="AA235" s="368"/>
      <c r="AB235" s="368"/>
      <c r="AC235" s="368"/>
      <c r="AD235" s="368"/>
      <c r="AE235" s="368"/>
      <c r="AF235" s="368"/>
      <c r="AG235" s="368"/>
      <c r="AH235" s="368"/>
      <c r="AI235" s="368"/>
      <c r="AJ235" s="368"/>
      <c r="AK235" s="368"/>
      <c r="AL235" s="368"/>
      <c r="AM235" s="368"/>
    </row>
    <row r="236" spans="1:39" s="90" customFormat="1" ht="18" customHeight="1" x14ac:dyDescent="0.3">
      <c r="A236" s="432"/>
      <c r="B236" s="423"/>
      <c r="C236" s="12"/>
      <c r="D236" s="156"/>
      <c r="E236" s="31" t="s">
        <v>48</v>
      </c>
      <c r="F236" s="23" t="s">
        <v>49</v>
      </c>
      <c r="G236" s="374" t="s">
        <v>521</v>
      </c>
      <c r="H236" s="133">
        <v>93</v>
      </c>
      <c r="I236" s="156"/>
      <c r="J236" s="133"/>
      <c r="K236" s="330" t="s">
        <v>218</v>
      </c>
      <c r="L236" s="330" t="s">
        <v>218</v>
      </c>
      <c r="M236" s="24">
        <v>12771</v>
      </c>
      <c r="N236" s="330">
        <v>14212</v>
      </c>
      <c r="O236" s="368">
        <v>1373</v>
      </c>
      <c r="P236" s="368" t="s">
        <v>515</v>
      </c>
      <c r="Q236" s="368">
        <v>1334</v>
      </c>
      <c r="R236" s="368" t="s">
        <v>515</v>
      </c>
      <c r="S236" s="368">
        <v>916</v>
      </c>
      <c r="T236" s="368" t="s">
        <v>515</v>
      </c>
      <c r="U236" s="368">
        <v>848</v>
      </c>
      <c r="V236" s="368" t="s">
        <v>515</v>
      </c>
      <c r="W236" s="368">
        <v>518</v>
      </c>
      <c r="X236" s="368" t="s">
        <v>515</v>
      </c>
      <c r="Y236" s="368">
        <v>519</v>
      </c>
      <c r="Z236" s="368" t="s">
        <v>515</v>
      </c>
      <c r="AA236" s="368">
        <v>625</v>
      </c>
      <c r="AB236" s="368" t="s">
        <v>515</v>
      </c>
      <c r="AC236" s="368">
        <v>592</v>
      </c>
      <c r="AD236" s="368" t="s">
        <v>515</v>
      </c>
      <c r="AE236" s="368">
        <v>929</v>
      </c>
      <c r="AF236" s="368" t="s">
        <v>515</v>
      </c>
      <c r="AG236" s="368">
        <v>905</v>
      </c>
      <c r="AH236" s="368" t="s">
        <v>515</v>
      </c>
      <c r="AI236" s="368">
        <v>1226</v>
      </c>
      <c r="AJ236" s="368" t="s">
        <v>515</v>
      </c>
      <c r="AK236" s="368">
        <v>1337</v>
      </c>
      <c r="AL236" s="368" t="s">
        <v>515</v>
      </c>
      <c r="AM236" s="368">
        <f>SUM(O236:AK236)</f>
        <v>11122</v>
      </c>
    </row>
    <row r="237" spans="1:39" s="90" customFormat="1" ht="18" customHeight="1" x14ac:dyDescent="0.3">
      <c r="A237" s="431">
        <v>114</v>
      </c>
      <c r="B237" s="422" t="s">
        <v>692</v>
      </c>
      <c r="C237" s="11" t="s">
        <v>512</v>
      </c>
      <c r="D237" s="156" t="s">
        <v>516</v>
      </c>
      <c r="E237" s="31" t="s">
        <v>364</v>
      </c>
      <c r="F237" s="23" t="s">
        <v>49</v>
      </c>
      <c r="G237" s="374"/>
      <c r="H237" s="133"/>
      <c r="I237" s="156"/>
      <c r="J237" s="133"/>
      <c r="K237" s="330" t="s">
        <v>218</v>
      </c>
      <c r="L237" s="330" t="s">
        <v>218</v>
      </c>
      <c r="M237" s="24">
        <v>12235</v>
      </c>
      <c r="N237" s="330">
        <v>13852</v>
      </c>
      <c r="O237" s="368">
        <v>1182</v>
      </c>
      <c r="P237" s="368" t="s">
        <v>515</v>
      </c>
      <c r="Q237" s="368">
        <v>1115</v>
      </c>
      <c r="R237" s="368" t="s">
        <v>515</v>
      </c>
      <c r="S237" s="368">
        <v>1022</v>
      </c>
      <c r="T237" s="368" t="s">
        <v>515</v>
      </c>
      <c r="U237" s="368">
        <v>1218</v>
      </c>
      <c r="V237" s="368" t="s">
        <v>515</v>
      </c>
      <c r="W237" s="368">
        <v>1038</v>
      </c>
      <c r="X237" s="368" t="s">
        <v>515</v>
      </c>
      <c r="Y237" s="368">
        <v>1175</v>
      </c>
      <c r="Z237" s="368" t="s">
        <v>515</v>
      </c>
      <c r="AA237" s="368">
        <v>934</v>
      </c>
      <c r="AB237" s="368" t="s">
        <v>515</v>
      </c>
      <c r="AC237" s="368">
        <v>983</v>
      </c>
      <c r="AD237" s="368" t="s">
        <v>515</v>
      </c>
      <c r="AE237" s="368">
        <v>1048</v>
      </c>
      <c r="AF237" s="368" t="s">
        <v>515</v>
      </c>
      <c r="AG237" s="368">
        <v>1143</v>
      </c>
      <c r="AH237" s="368" t="s">
        <v>515</v>
      </c>
      <c r="AI237" s="368">
        <v>1038</v>
      </c>
      <c r="AJ237" s="368" t="s">
        <v>515</v>
      </c>
      <c r="AK237" s="368">
        <v>1195</v>
      </c>
      <c r="AL237" s="368" t="s">
        <v>515</v>
      </c>
      <c r="AM237" s="368">
        <f>SUM(O237:AK237)</f>
        <v>13091</v>
      </c>
    </row>
    <row r="238" spans="1:39" s="90" customFormat="1" ht="18" customHeight="1" x14ac:dyDescent="0.3">
      <c r="A238" s="432"/>
      <c r="B238" s="423"/>
      <c r="C238" s="12"/>
      <c r="D238" s="156"/>
      <c r="E238" s="31" t="s">
        <v>48</v>
      </c>
      <c r="F238" s="23" t="s">
        <v>49</v>
      </c>
      <c r="G238" s="374" t="s">
        <v>535</v>
      </c>
      <c r="H238" s="133">
        <v>180</v>
      </c>
      <c r="I238" s="156"/>
      <c r="J238" s="133"/>
      <c r="K238" s="330" t="s">
        <v>218</v>
      </c>
      <c r="L238" s="330" t="s">
        <v>218</v>
      </c>
      <c r="M238" s="24">
        <v>13811</v>
      </c>
      <c r="N238" s="330">
        <v>12532</v>
      </c>
      <c r="O238" s="368">
        <v>1480</v>
      </c>
      <c r="P238" s="368" t="s">
        <v>515</v>
      </c>
      <c r="Q238" s="368">
        <v>1063</v>
      </c>
      <c r="R238" s="368" t="s">
        <v>515</v>
      </c>
      <c r="S238" s="368">
        <v>865</v>
      </c>
      <c r="T238" s="368" t="s">
        <v>515</v>
      </c>
      <c r="U238" s="368">
        <v>727</v>
      </c>
      <c r="V238" s="368" t="s">
        <v>515</v>
      </c>
      <c r="W238" s="368">
        <v>686</v>
      </c>
      <c r="X238" s="368" t="s">
        <v>515</v>
      </c>
      <c r="Y238" s="368">
        <v>789</v>
      </c>
      <c r="Z238" s="368" t="s">
        <v>515</v>
      </c>
      <c r="AA238" s="368">
        <v>626</v>
      </c>
      <c r="AB238" s="368" t="s">
        <v>515</v>
      </c>
      <c r="AC238" s="368">
        <v>657</v>
      </c>
      <c r="AD238" s="368" t="s">
        <v>515</v>
      </c>
      <c r="AE238" s="368">
        <v>810</v>
      </c>
      <c r="AF238" s="368" t="s">
        <v>515</v>
      </c>
      <c r="AG238" s="368">
        <v>1395</v>
      </c>
      <c r="AH238" s="368" t="s">
        <v>515</v>
      </c>
      <c r="AI238" s="368">
        <v>1523</v>
      </c>
      <c r="AJ238" s="368" t="s">
        <v>515</v>
      </c>
      <c r="AK238" s="368">
        <v>1700</v>
      </c>
      <c r="AL238" s="368" t="s">
        <v>515</v>
      </c>
      <c r="AM238" s="368">
        <f>SUM(O238:AK238)</f>
        <v>12321</v>
      </c>
    </row>
    <row r="239" spans="1:39" s="90" customFormat="1" ht="18" customHeight="1" x14ac:dyDescent="0.3">
      <c r="A239" s="431">
        <v>115</v>
      </c>
      <c r="B239" s="422" t="s">
        <v>693</v>
      </c>
      <c r="C239" s="11" t="s">
        <v>512</v>
      </c>
      <c r="D239" s="156" t="s">
        <v>516</v>
      </c>
      <c r="E239" s="31" t="s">
        <v>364</v>
      </c>
      <c r="F239" s="23" t="s">
        <v>49</v>
      </c>
      <c r="G239" s="374"/>
      <c r="H239" s="133"/>
      <c r="I239" s="156"/>
      <c r="J239" s="133"/>
      <c r="K239" s="330"/>
      <c r="L239" s="330"/>
      <c r="M239" s="24"/>
      <c r="N239" s="330"/>
      <c r="O239" s="368"/>
      <c r="P239" s="368"/>
      <c r="Q239" s="368"/>
      <c r="R239" s="368"/>
      <c r="S239" s="368"/>
      <c r="T239" s="368"/>
      <c r="U239" s="368"/>
      <c r="V239" s="368"/>
      <c r="W239" s="368"/>
      <c r="X239" s="368"/>
      <c r="Y239" s="368"/>
      <c r="Z239" s="368"/>
      <c r="AA239" s="368"/>
      <c r="AB239" s="368"/>
      <c r="AC239" s="368"/>
      <c r="AD239" s="368"/>
      <c r="AE239" s="368"/>
      <c r="AF239" s="368"/>
      <c r="AG239" s="368"/>
      <c r="AH239" s="368"/>
      <c r="AI239" s="368"/>
      <c r="AJ239" s="368"/>
      <c r="AK239" s="368"/>
      <c r="AL239" s="368"/>
      <c r="AM239" s="368"/>
    </row>
    <row r="240" spans="1:39" s="90" customFormat="1" ht="18" customHeight="1" x14ac:dyDescent="0.3">
      <c r="A240" s="432"/>
      <c r="B240" s="423"/>
      <c r="C240" s="12"/>
      <c r="D240" s="156"/>
      <c r="E240" s="31" t="s">
        <v>48</v>
      </c>
      <c r="F240" s="23" t="s">
        <v>49</v>
      </c>
      <c r="G240" s="374" t="s">
        <v>535</v>
      </c>
      <c r="H240" s="133">
        <v>97</v>
      </c>
      <c r="I240" s="156"/>
      <c r="J240" s="133"/>
      <c r="K240" s="330" t="s">
        <v>218</v>
      </c>
      <c r="L240" s="330" t="s">
        <v>218</v>
      </c>
      <c r="M240" s="24">
        <v>13502</v>
      </c>
      <c r="N240" s="330">
        <v>11695</v>
      </c>
      <c r="O240" s="368">
        <v>1236</v>
      </c>
      <c r="P240" s="368" t="s">
        <v>515</v>
      </c>
      <c r="Q240" s="368">
        <v>1084</v>
      </c>
      <c r="R240" s="368" t="s">
        <v>515</v>
      </c>
      <c r="S240" s="368">
        <v>1073</v>
      </c>
      <c r="T240" s="368" t="s">
        <v>515</v>
      </c>
      <c r="U240" s="368">
        <v>1131</v>
      </c>
      <c r="V240" s="368" t="s">
        <v>515</v>
      </c>
      <c r="W240" s="368">
        <v>612</v>
      </c>
      <c r="X240" s="368" t="s">
        <v>515</v>
      </c>
      <c r="Y240" s="368">
        <v>587</v>
      </c>
      <c r="Z240" s="368" t="s">
        <v>515</v>
      </c>
      <c r="AA240" s="368">
        <v>460</v>
      </c>
      <c r="AB240" s="368" t="s">
        <v>515</v>
      </c>
      <c r="AC240" s="368">
        <v>546</v>
      </c>
      <c r="AD240" s="368" t="s">
        <v>515</v>
      </c>
      <c r="AE240" s="368">
        <v>683</v>
      </c>
      <c r="AF240" s="368" t="s">
        <v>515</v>
      </c>
      <c r="AG240" s="368">
        <v>784</v>
      </c>
      <c r="AH240" s="368" t="s">
        <v>515</v>
      </c>
      <c r="AI240" s="368">
        <v>827</v>
      </c>
      <c r="AJ240" s="368" t="s">
        <v>515</v>
      </c>
      <c r="AK240" s="368">
        <v>953</v>
      </c>
      <c r="AL240" s="368" t="s">
        <v>515</v>
      </c>
      <c r="AM240" s="368">
        <f>SUM(O240:AK240)</f>
        <v>9976</v>
      </c>
    </row>
    <row r="241" spans="1:39" s="90" customFormat="1" ht="18" customHeight="1" x14ac:dyDescent="0.3">
      <c r="A241" s="431">
        <v>116</v>
      </c>
      <c r="B241" s="422" t="s">
        <v>694</v>
      </c>
      <c r="C241" s="11" t="s">
        <v>512</v>
      </c>
      <c r="D241" s="156" t="s">
        <v>555</v>
      </c>
      <c r="E241" s="31" t="s">
        <v>364</v>
      </c>
      <c r="F241" s="23" t="s">
        <v>49</v>
      </c>
      <c r="G241" s="374"/>
      <c r="H241" s="133"/>
      <c r="I241" s="156"/>
      <c r="J241" s="133"/>
      <c r="K241" s="330"/>
      <c r="L241" s="330"/>
      <c r="M241" s="24"/>
      <c r="N241" s="330"/>
      <c r="O241" s="368"/>
      <c r="P241" s="368"/>
      <c r="Q241" s="368"/>
      <c r="R241" s="368"/>
      <c r="S241" s="368"/>
      <c r="T241" s="368"/>
      <c r="U241" s="368"/>
      <c r="V241" s="368"/>
      <c r="W241" s="368"/>
      <c r="X241" s="368"/>
      <c r="Y241" s="368"/>
      <c r="Z241" s="368"/>
      <c r="AA241" s="368"/>
      <c r="AB241" s="368"/>
      <c r="AC241" s="368"/>
      <c r="AD241" s="368"/>
      <c r="AE241" s="368"/>
      <c r="AF241" s="368"/>
      <c r="AG241" s="368"/>
      <c r="AH241" s="368"/>
      <c r="AI241" s="368"/>
      <c r="AJ241" s="368"/>
      <c r="AK241" s="368"/>
      <c r="AL241" s="368"/>
      <c r="AM241" s="368"/>
    </row>
    <row r="242" spans="1:39" s="90" customFormat="1" ht="18" customHeight="1" x14ac:dyDescent="0.3">
      <c r="A242" s="432"/>
      <c r="B242" s="423"/>
      <c r="C242" s="12"/>
      <c r="D242" s="156"/>
      <c r="E242" s="31" t="s">
        <v>48</v>
      </c>
      <c r="F242" s="23" t="s">
        <v>49</v>
      </c>
      <c r="G242" s="374" t="s">
        <v>535</v>
      </c>
      <c r="H242" s="133">
        <v>97</v>
      </c>
      <c r="I242" s="156"/>
      <c r="J242" s="133"/>
      <c r="K242" s="330" t="s">
        <v>218</v>
      </c>
      <c r="L242" s="330" t="s">
        <v>218</v>
      </c>
      <c r="M242" s="24">
        <v>6207</v>
      </c>
      <c r="N242" s="330">
        <v>8542</v>
      </c>
      <c r="O242" s="368">
        <v>1075</v>
      </c>
      <c r="P242" s="368" t="s">
        <v>515</v>
      </c>
      <c r="Q242" s="368">
        <v>932</v>
      </c>
      <c r="R242" s="368" t="s">
        <v>515</v>
      </c>
      <c r="S242" s="368">
        <v>735</v>
      </c>
      <c r="T242" s="368" t="s">
        <v>515</v>
      </c>
      <c r="U242" s="368">
        <v>681</v>
      </c>
      <c r="V242" s="368" t="s">
        <v>515</v>
      </c>
      <c r="W242" s="368">
        <v>542</v>
      </c>
      <c r="X242" s="368" t="s">
        <v>515</v>
      </c>
      <c r="Y242" s="368">
        <v>589</v>
      </c>
      <c r="Z242" s="368" t="s">
        <v>515</v>
      </c>
      <c r="AA242" s="368">
        <v>508</v>
      </c>
      <c r="AB242" s="368" t="s">
        <v>515</v>
      </c>
      <c r="AC242" s="368">
        <v>501</v>
      </c>
      <c r="AD242" s="368" t="s">
        <v>515</v>
      </c>
      <c r="AE242" s="368">
        <v>777</v>
      </c>
      <c r="AF242" s="368" t="s">
        <v>515</v>
      </c>
      <c r="AG242" s="368">
        <v>550</v>
      </c>
      <c r="AH242" s="368" t="s">
        <v>515</v>
      </c>
      <c r="AI242" s="368">
        <v>675</v>
      </c>
      <c r="AJ242" s="368" t="s">
        <v>515</v>
      </c>
      <c r="AK242" s="368">
        <v>776</v>
      </c>
      <c r="AL242" s="368" t="s">
        <v>515</v>
      </c>
      <c r="AM242" s="368">
        <f t="shared" ref="AM242:AM260" si="6">SUM(O242:AK242)</f>
        <v>8341</v>
      </c>
    </row>
    <row r="243" spans="1:39" s="90" customFormat="1" ht="18" customHeight="1" x14ac:dyDescent="0.3">
      <c r="A243" s="431">
        <v>117</v>
      </c>
      <c r="B243" s="422" t="s">
        <v>695</v>
      </c>
      <c r="C243" s="11" t="s">
        <v>512</v>
      </c>
      <c r="D243" s="156" t="s">
        <v>516</v>
      </c>
      <c r="E243" s="31" t="s">
        <v>364</v>
      </c>
      <c r="F243" s="23" t="s">
        <v>49</v>
      </c>
      <c r="G243" s="374"/>
      <c r="H243" s="133"/>
      <c r="I243" s="156"/>
      <c r="J243" s="133"/>
      <c r="K243" s="330" t="s">
        <v>218</v>
      </c>
      <c r="L243" s="330" t="s">
        <v>218</v>
      </c>
      <c r="M243" s="24">
        <v>6427</v>
      </c>
      <c r="N243" s="330">
        <v>6697</v>
      </c>
      <c r="O243" s="368">
        <v>572</v>
      </c>
      <c r="P243" s="368" t="s">
        <v>515</v>
      </c>
      <c r="Q243" s="368">
        <v>514</v>
      </c>
      <c r="R243" s="368" t="s">
        <v>515</v>
      </c>
      <c r="S243" s="368">
        <v>529</v>
      </c>
      <c r="T243" s="368" t="s">
        <v>515</v>
      </c>
      <c r="U243" s="368">
        <v>571</v>
      </c>
      <c r="V243" s="368" t="s">
        <v>515</v>
      </c>
      <c r="W243" s="368">
        <v>508</v>
      </c>
      <c r="X243" s="368" t="s">
        <v>515</v>
      </c>
      <c r="Y243" s="368">
        <v>477</v>
      </c>
      <c r="Z243" s="368" t="s">
        <v>515</v>
      </c>
      <c r="AA243" s="368">
        <v>505</v>
      </c>
      <c r="AB243" s="368" t="s">
        <v>515</v>
      </c>
      <c r="AC243" s="368">
        <v>457</v>
      </c>
      <c r="AD243" s="368" t="s">
        <v>515</v>
      </c>
      <c r="AE243" s="368">
        <v>533</v>
      </c>
      <c r="AF243" s="368" t="s">
        <v>515</v>
      </c>
      <c r="AG243" s="368">
        <v>524</v>
      </c>
      <c r="AH243" s="368" t="s">
        <v>515</v>
      </c>
      <c r="AI243" s="368">
        <v>482</v>
      </c>
      <c r="AJ243" s="368" t="s">
        <v>515</v>
      </c>
      <c r="AK243" s="368">
        <v>503</v>
      </c>
      <c r="AL243" s="368" t="s">
        <v>515</v>
      </c>
      <c r="AM243" s="368">
        <f t="shared" si="6"/>
        <v>6175</v>
      </c>
    </row>
    <row r="244" spans="1:39" s="90" customFormat="1" ht="18" customHeight="1" x14ac:dyDescent="0.3">
      <c r="A244" s="432"/>
      <c r="B244" s="423"/>
      <c r="C244" s="12"/>
      <c r="D244" s="156"/>
      <c r="E244" s="31" t="s">
        <v>48</v>
      </c>
      <c r="F244" s="23" t="s">
        <v>49</v>
      </c>
      <c r="G244" s="374" t="s">
        <v>518</v>
      </c>
      <c r="H244" s="133">
        <v>64</v>
      </c>
      <c r="I244" s="156"/>
      <c r="J244" s="133"/>
      <c r="K244" s="330" t="s">
        <v>218</v>
      </c>
      <c r="L244" s="330" t="s">
        <v>218</v>
      </c>
      <c r="M244" s="24">
        <v>13908</v>
      </c>
      <c r="N244" s="330">
        <v>12699</v>
      </c>
      <c r="O244" s="368">
        <v>792</v>
      </c>
      <c r="P244" s="368" t="s">
        <v>515</v>
      </c>
      <c r="Q244" s="368">
        <v>710</v>
      </c>
      <c r="R244" s="368" t="s">
        <v>515</v>
      </c>
      <c r="S244" s="368">
        <v>662</v>
      </c>
      <c r="T244" s="368" t="s">
        <v>515</v>
      </c>
      <c r="U244" s="368">
        <v>708</v>
      </c>
      <c r="V244" s="368" t="s">
        <v>515</v>
      </c>
      <c r="W244" s="368">
        <v>661</v>
      </c>
      <c r="X244" s="368" t="s">
        <v>515</v>
      </c>
      <c r="Y244" s="368">
        <v>457</v>
      </c>
      <c r="Z244" s="368" t="s">
        <v>515</v>
      </c>
      <c r="AA244" s="368">
        <v>527</v>
      </c>
      <c r="AB244" s="368" t="s">
        <v>515</v>
      </c>
      <c r="AC244" s="368">
        <v>592</v>
      </c>
      <c r="AD244" s="368" t="s">
        <v>515</v>
      </c>
      <c r="AE244" s="368">
        <v>487</v>
      </c>
      <c r="AF244" s="368" t="s">
        <v>515</v>
      </c>
      <c r="AG244" s="368">
        <v>816</v>
      </c>
      <c r="AH244" s="368" t="s">
        <v>515</v>
      </c>
      <c r="AI244" s="368">
        <v>627</v>
      </c>
      <c r="AJ244" s="368" t="s">
        <v>515</v>
      </c>
      <c r="AK244" s="368">
        <v>560</v>
      </c>
      <c r="AL244" s="368" t="s">
        <v>515</v>
      </c>
      <c r="AM244" s="368">
        <f t="shared" si="6"/>
        <v>7599</v>
      </c>
    </row>
    <row r="245" spans="1:39" s="90" customFormat="1" ht="18" customHeight="1" x14ac:dyDescent="0.3">
      <c r="A245" s="431">
        <v>118</v>
      </c>
      <c r="B245" s="422" t="s">
        <v>696</v>
      </c>
      <c r="C245" s="11" t="s">
        <v>512</v>
      </c>
      <c r="D245" s="156" t="s">
        <v>516</v>
      </c>
      <c r="E245" s="31" t="s">
        <v>364</v>
      </c>
      <c r="F245" s="23" t="s">
        <v>49</v>
      </c>
      <c r="G245" s="374"/>
      <c r="H245" s="133"/>
      <c r="I245" s="156"/>
      <c r="J245" s="133"/>
      <c r="K245" s="330" t="s">
        <v>218</v>
      </c>
      <c r="L245" s="330" t="s">
        <v>218</v>
      </c>
      <c r="M245" s="24">
        <v>12630</v>
      </c>
      <c r="N245" s="330">
        <v>13770</v>
      </c>
      <c r="O245" s="368">
        <v>1203</v>
      </c>
      <c r="P245" s="368" t="s">
        <v>515</v>
      </c>
      <c r="Q245" s="368">
        <v>1141</v>
      </c>
      <c r="R245" s="368" t="s">
        <v>515</v>
      </c>
      <c r="S245" s="368">
        <v>1015</v>
      </c>
      <c r="T245" s="368" t="s">
        <v>515</v>
      </c>
      <c r="U245" s="368">
        <v>1232</v>
      </c>
      <c r="V245" s="368" t="s">
        <v>515</v>
      </c>
      <c r="W245" s="368">
        <v>928</v>
      </c>
      <c r="X245" s="368" t="s">
        <v>515</v>
      </c>
      <c r="Y245" s="368">
        <v>956</v>
      </c>
      <c r="Z245" s="368" t="s">
        <v>515</v>
      </c>
      <c r="AA245" s="368">
        <v>1122</v>
      </c>
      <c r="AB245" s="368" t="s">
        <v>515</v>
      </c>
      <c r="AC245" s="368">
        <v>1028</v>
      </c>
      <c r="AD245" s="368" t="s">
        <v>515</v>
      </c>
      <c r="AE245" s="368">
        <v>1034</v>
      </c>
      <c r="AF245" s="368" t="s">
        <v>515</v>
      </c>
      <c r="AG245" s="368">
        <v>1021</v>
      </c>
      <c r="AH245" s="368" t="s">
        <v>515</v>
      </c>
      <c r="AI245" s="368">
        <v>954</v>
      </c>
      <c r="AJ245" s="368" t="s">
        <v>515</v>
      </c>
      <c r="AK245" s="368">
        <v>1042</v>
      </c>
      <c r="AL245" s="368" t="s">
        <v>515</v>
      </c>
      <c r="AM245" s="368">
        <f t="shared" si="6"/>
        <v>12676</v>
      </c>
    </row>
    <row r="246" spans="1:39" s="90" customFormat="1" ht="18" customHeight="1" x14ac:dyDescent="0.3">
      <c r="A246" s="432"/>
      <c r="B246" s="423"/>
      <c r="C246" s="12"/>
      <c r="D246" s="156"/>
      <c r="E246" s="31" t="s">
        <v>48</v>
      </c>
      <c r="F246" s="23" t="s">
        <v>49</v>
      </c>
      <c r="G246" s="374" t="s">
        <v>535</v>
      </c>
      <c r="H246" s="133">
        <v>176</v>
      </c>
      <c r="I246" s="156"/>
      <c r="J246" s="133"/>
      <c r="K246" s="330" t="s">
        <v>218</v>
      </c>
      <c r="L246" s="330" t="s">
        <v>218</v>
      </c>
      <c r="M246" s="24">
        <v>11808</v>
      </c>
      <c r="N246" s="330">
        <v>8521</v>
      </c>
      <c r="O246" s="368">
        <v>1174</v>
      </c>
      <c r="P246" s="368" t="s">
        <v>515</v>
      </c>
      <c r="Q246" s="368">
        <v>868</v>
      </c>
      <c r="R246" s="368" t="s">
        <v>515</v>
      </c>
      <c r="S246" s="368">
        <v>640</v>
      </c>
      <c r="T246" s="368" t="s">
        <v>515</v>
      </c>
      <c r="U246" s="368">
        <v>602</v>
      </c>
      <c r="V246" s="368" t="s">
        <v>515</v>
      </c>
      <c r="W246" s="368">
        <v>422</v>
      </c>
      <c r="X246" s="368" t="s">
        <v>515</v>
      </c>
      <c r="Y246" s="368">
        <v>301</v>
      </c>
      <c r="Z246" s="368" t="s">
        <v>515</v>
      </c>
      <c r="AA246" s="368">
        <v>400</v>
      </c>
      <c r="AB246" s="368" t="s">
        <v>515</v>
      </c>
      <c r="AC246" s="368">
        <v>362</v>
      </c>
      <c r="AD246" s="368" t="s">
        <v>515</v>
      </c>
      <c r="AE246" s="368">
        <v>599</v>
      </c>
      <c r="AF246" s="368" t="s">
        <v>515</v>
      </c>
      <c r="AG246" s="368">
        <v>657</v>
      </c>
      <c r="AH246" s="368" t="s">
        <v>515</v>
      </c>
      <c r="AI246" s="368">
        <v>651</v>
      </c>
      <c r="AJ246" s="368" t="s">
        <v>515</v>
      </c>
      <c r="AK246" s="368">
        <v>913</v>
      </c>
      <c r="AL246" s="368" t="s">
        <v>515</v>
      </c>
      <c r="AM246" s="368">
        <f t="shared" si="6"/>
        <v>7589</v>
      </c>
    </row>
    <row r="247" spans="1:39" s="90" customFormat="1" ht="18" customHeight="1" x14ac:dyDescent="0.3">
      <c r="A247" s="431">
        <v>119</v>
      </c>
      <c r="B247" s="422" t="s">
        <v>697</v>
      </c>
      <c r="C247" s="11" t="s">
        <v>512</v>
      </c>
      <c r="D247" s="156" t="s">
        <v>516</v>
      </c>
      <c r="E247" s="31" t="s">
        <v>364</v>
      </c>
      <c r="F247" s="23" t="s">
        <v>49</v>
      </c>
      <c r="G247" s="374"/>
      <c r="H247" s="133"/>
      <c r="I247" s="156"/>
      <c r="J247" s="133"/>
      <c r="K247" s="330" t="s">
        <v>218</v>
      </c>
      <c r="L247" s="330" t="s">
        <v>218</v>
      </c>
      <c r="M247" s="24">
        <v>0</v>
      </c>
      <c r="N247" s="330">
        <v>14480</v>
      </c>
      <c r="O247" s="368">
        <v>1270</v>
      </c>
      <c r="P247" s="368" t="s">
        <v>515</v>
      </c>
      <c r="Q247" s="368">
        <v>1210</v>
      </c>
      <c r="R247" s="368" t="s">
        <v>515</v>
      </c>
      <c r="S247" s="368">
        <v>940</v>
      </c>
      <c r="T247" s="368" t="s">
        <v>515</v>
      </c>
      <c r="U247" s="368">
        <v>1240</v>
      </c>
      <c r="V247" s="368" t="s">
        <v>515</v>
      </c>
      <c r="W247" s="368">
        <v>1120</v>
      </c>
      <c r="X247" s="368" t="s">
        <v>515</v>
      </c>
      <c r="Y247" s="368">
        <v>1180</v>
      </c>
      <c r="Z247" s="368" t="s">
        <v>515</v>
      </c>
      <c r="AA247" s="368">
        <v>970</v>
      </c>
      <c r="AB247" s="368" t="s">
        <v>515</v>
      </c>
      <c r="AC247" s="368">
        <v>1190</v>
      </c>
      <c r="AD247" s="368" t="s">
        <v>515</v>
      </c>
      <c r="AE247" s="368">
        <v>1020</v>
      </c>
      <c r="AF247" s="368" t="s">
        <v>515</v>
      </c>
      <c r="AG247" s="368">
        <v>1030</v>
      </c>
      <c r="AH247" s="368" t="s">
        <v>515</v>
      </c>
      <c r="AI247" s="368">
        <v>1080</v>
      </c>
      <c r="AJ247" s="368" t="s">
        <v>515</v>
      </c>
      <c r="AK247" s="368">
        <v>1090</v>
      </c>
      <c r="AL247" s="368" t="s">
        <v>515</v>
      </c>
      <c r="AM247" s="368">
        <f t="shared" si="6"/>
        <v>13340</v>
      </c>
    </row>
    <row r="248" spans="1:39" s="90" customFormat="1" ht="18" customHeight="1" x14ac:dyDescent="0.3">
      <c r="A248" s="432"/>
      <c r="B248" s="423"/>
      <c r="C248" s="12"/>
      <c r="D248" s="156"/>
      <c r="E248" s="31" t="s">
        <v>48</v>
      </c>
      <c r="F248" s="23" t="s">
        <v>49</v>
      </c>
      <c r="G248" s="374" t="s">
        <v>518</v>
      </c>
      <c r="H248" s="133">
        <v>85</v>
      </c>
      <c r="I248" s="156"/>
      <c r="J248" s="133"/>
      <c r="K248" s="330" t="s">
        <v>218</v>
      </c>
      <c r="L248" s="330" t="s">
        <v>218</v>
      </c>
      <c r="M248" s="24">
        <v>0</v>
      </c>
      <c r="N248" s="330">
        <v>24342</v>
      </c>
      <c r="O248" s="368">
        <v>2529</v>
      </c>
      <c r="P248" s="368" t="s">
        <v>515</v>
      </c>
      <c r="Q248" s="368">
        <v>2430</v>
      </c>
      <c r="R248" s="368" t="s">
        <v>515</v>
      </c>
      <c r="S248" s="368">
        <v>1673</v>
      </c>
      <c r="T248" s="368" t="s">
        <v>515</v>
      </c>
      <c r="U248" s="368">
        <v>1919</v>
      </c>
      <c r="V248" s="368" t="s">
        <v>515</v>
      </c>
      <c r="W248" s="368">
        <v>1599</v>
      </c>
      <c r="X248" s="368" t="s">
        <v>515</v>
      </c>
      <c r="Y248" s="368">
        <v>1662</v>
      </c>
      <c r="Z248" s="368" t="s">
        <v>515</v>
      </c>
      <c r="AA248" s="368">
        <v>1432</v>
      </c>
      <c r="AB248" s="368" t="s">
        <v>515</v>
      </c>
      <c r="AC248" s="368">
        <v>1843</v>
      </c>
      <c r="AD248" s="368" t="s">
        <v>515</v>
      </c>
      <c r="AE248" s="368">
        <v>1668</v>
      </c>
      <c r="AF248" s="368" t="s">
        <v>515</v>
      </c>
      <c r="AG248" s="368">
        <v>1702</v>
      </c>
      <c r="AH248" s="368" t="s">
        <v>515</v>
      </c>
      <c r="AI248" s="368">
        <v>1999</v>
      </c>
      <c r="AJ248" s="368" t="s">
        <v>515</v>
      </c>
      <c r="AK248" s="368">
        <v>2184</v>
      </c>
      <c r="AL248" s="368" t="s">
        <v>515</v>
      </c>
      <c r="AM248" s="368">
        <f t="shared" si="6"/>
        <v>22640</v>
      </c>
    </row>
    <row r="249" spans="1:39" s="90" customFormat="1" ht="18" customHeight="1" x14ac:dyDescent="0.3">
      <c r="A249" s="431">
        <v>120</v>
      </c>
      <c r="B249" s="422" t="s">
        <v>698</v>
      </c>
      <c r="C249" s="11" t="s">
        <v>512</v>
      </c>
      <c r="D249" s="156" t="s">
        <v>516</v>
      </c>
      <c r="E249" s="31" t="s">
        <v>364</v>
      </c>
      <c r="F249" s="23" t="s">
        <v>49</v>
      </c>
      <c r="G249" s="374"/>
      <c r="H249" s="133"/>
      <c r="I249" s="156"/>
      <c r="J249" s="133"/>
      <c r="K249" s="330" t="s">
        <v>218</v>
      </c>
      <c r="L249" s="330" t="s">
        <v>218</v>
      </c>
      <c r="M249" s="24">
        <v>12189</v>
      </c>
      <c r="N249" s="330">
        <v>12789</v>
      </c>
      <c r="O249" s="368">
        <v>1108</v>
      </c>
      <c r="P249" s="368" t="s">
        <v>515</v>
      </c>
      <c r="Q249" s="368">
        <v>1178</v>
      </c>
      <c r="R249" s="368" t="s">
        <v>515</v>
      </c>
      <c r="S249" s="368">
        <v>881</v>
      </c>
      <c r="T249" s="368" t="s">
        <v>515</v>
      </c>
      <c r="U249" s="368">
        <v>1116</v>
      </c>
      <c r="V249" s="368" t="s">
        <v>515</v>
      </c>
      <c r="W249" s="368">
        <v>1037</v>
      </c>
      <c r="X249" s="368" t="s">
        <v>515</v>
      </c>
      <c r="Y249" s="368">
        <v>1143</v>
      </c>
      <c r="Z249" s="368" t="s">
        <v>515</v>
      </c>
      <c r="AA249" s="368">
        <v>930</v>
      </c>
      <c r="AB249" s="368" t="s">
        <v>515</v>
      </c>
      <c r="AC249" s="368">
        <v>974</v>
      </c>
      <c r="AD249" s="368" t="s">
        <v>515</v>
      </c>
      <c r="AE249" s="368">
        <v>1022</v>
      </c>
      <c r="AF249" s="368" t="s">
        <v>515</v>
      </c>
      <c r="AG249" s="368">
        <v>1034</v>
      </c>
      <c r="AH249" s="368" t="s">
        <v>515</v>
      </c>
      <c r="AI249" s="368">
        <v>944</v>
      </c>
      <c r="AJ249" s="368" t="s">
        <v>515</v>
      </c>
      <c r="AK249" s="368">
        <v>1003</v>
      </c>
      <c r="AL249" s="368" t="s">
        <v>515</v>
      </c>
      <c r="AM249" s="368">
        <f t="shared" si="6"/>
        <v>12370</v>
      </c>
    </row>
    <row r="250" spans="1:39" s="90" customFormat="1" ht="18" customHeight="1" x14ac:dyDescent="0.3">
      <c r="A250" s="432"/>
      <c r="B250" s="423"/>
      <c r="C250" s="12"/>
      <c r="D250" s="156"/>
      <c r="E250" s="31" t="s">
        <v>48</v>
      </c>
      <c r="F250" s="23" t="s">
        <v>49</v>
      </c>
      <c r="G250" s="374" t="s">
        <v>534</v>
      </c>
      <c r="H250" s="133">
        <v>188</v>
      </c>
      <c r="I250" s="156"/>
      <c r="J250" s="133"/>
      <c r="K250" s="330" t="s">
        <v>218</v>
      </c>
      <c r="L250" s="330" t="s">
        <v>218</v>
      </c>
      <c r="M250" s="24">
        <v>8290</v>
      </c>
      <c r="N250" s="330">
        <v>11087</v>
      </c>
      <c r="O250" s="368">
        <v>1124</v>
      </c>
      <c r="P250" s="368" t="s">
        <v>515</v>
      </c>
      <c r="Q250" s="368">
        <v>899</v>
      </c>
      <c r="R250" s="368" t="s">
        <v>515</v>
      </c>
      <c r="S250" s="368">
        <v>599</v>
      </c>
      <c r="T250" s="368" t="s">
        <v>515</v>
      </c>
      <c r="U250" s="368">
        <v>754</v>
      </c>
      <c r="V250" s="368" t="s">
        <v>515</v>
      </c>
      <c r="W250" s="368">
        <v>536</v>
      </c>
      <c r="X250" s="368" t="s">
        <v>515</v>
      </c>
      <c r="Y250" s="368">
        <v>485</v>
      </c>
      <c r="Z250" s="368" t="s">
        <v>515</v>
      </c>
      <c r="AA250" s="368">
        <v>452</v>
      </c>
      <c r="AB250" s="368" t="s">
        <v>515</v>
      </c>
      <c r="AC250" s="368">
        <v>439</v>
      </c>
      <c r="AD250" s="368" t="s">
        <v>515</v>
      </c>
      <c r="AE250" s="368">
        <v>544</v>
      </c>
      <c r="AF250" s="368" t="s">
        <v>515</v>
      </c>
      <c r="AG250" s="368">
        <v>721</v>
      </c>
      <c r="AH250" s="368" t="s">
        <v>515</v>
      </c>
      <c r="AI250" s="368">
        <v>848</v>
      </c>
      <c r="AJ250" s="368" t="s">
        <v>515</v>
      </c>
      <c r="AK250" s="368">
        <v>1062</v>
      </c>
      <c r="AL250" s="368" t="s">
        <v>515</v>
      </c>
      <c r="AM250" s="368">
        <f t="shared" si="6"/>
        <v>8463</v>
      </c>
    </row>
    <row r="251" spans="1:39" s="90" customFormat="1" ht="18" customHeight="1" x14ac:dyDescent="0.3">
      <c r="A251" s="431">
        <v>121</v>
      </c>
      <c r="B251" s="422" t="s">
        <v>699</v>
      </c>
      <c r="C251" s="11" t="s">
        <v>512</v>
      </c>
      <c r="D251" s="156" t="s">
        <v>516</v>
      </c>
      <c r="E251" s="31" t="s">
        <v>364</v>
      </c>
      <c r="F251" s="23" t="s">
        <v>49</v>
      </c>
      <c r="G251" s="374"/>
      <c r="H251" s="133"/>
      <c r="I251" s="156"/>
      <c r="J251" s="133"/>
      <c r="K251" s="330" t="s">
        <v>218</v>
      </c>
      <c r="L251" s="330" t="s">
        <v>218</v>
      </c>
      <c r="M251" s="24">
        <v>16455</v>
      </c>
      <c r="N251" s="330">
        <v>16791</v>
      </c>
      <c r="O251" s="368">
        <v>1359</v>
      </c>
      <c r="P251" s="368" t="s">
        <v>515</v>
      </c>
      <c r="Q251" s="368">
        <v>1418</v>
      </c>
      <c r="R251" s="368" t="s">
        <v>515</v>
      </c>
      <c r="S251" s="368">
        <v>1467</v>
      </c>
      <c r="T251" s="368" t="s">
        <v>515</v>
      </c>
      <c r="U251" s="368">
        <v>1277</v>
      </c>
      <c r="V251" s="368" t="s">
        <v>515</v>
      </c>
      <c r="W251" s="368">
        <v>1409</v>
      </c>
      <c r="X251" s="368" t="s">
        <v>515</v>
      </c>
      <c r="Y251" s="368">
        <v>1263</v>
      </c>
      <c r="Z251" s="368" t="s">
        <v>515</v>
      </c>
      <c r="AA251" s="368">
        <v>1054</v>
      </c>
      <c r="AB251" s="368" t="s">
        <v>515</v>
      </c>
      <c r="AC251" s="368">
        <v>1199</v>
      </c>
      <c r="AD251" s="368" t="s">
        <v>515</v>
      </c>
      <c r="AE251" s="368">
        <v>1276</v>
      </c>
      <c r="AF251" s="368" t="s">
        <v>515</v>
      </c>
      <c r="AG251" s="368">
        <v>1127</v>
      </c>
      <c r="AH251" s="368" t="s">
        <v>515</v>
      </c>
      <c r="AI251" s="368">
        <v>1167</v>
      </c>
      <c r="AJ251" s="368" t="s">
        <v>515</v>
      </c>
      <c r="AK251" s="368">
        <v>1141</v>
      </c>
      <c r="AL251" s="368" t="s">
        <v>515</v>
      </c>
      <c r="AM251" s="368">
        <f t="shared" si="6"/>
        <v>15157</v>
      </c>
    </row>
    <row r="252" spans="1:39" s="90" customFormat="1" ht="18" customHeight="1" x14ac:dyDescent="0.3">
      <c r="A252" s="432"/>
      <c r="B252" s="423"/>
      <c r="C252" s="12"/>
      <c r="D252" s="156"/>
      <c r="E252" s="31" t="s">
        <v>48</v>
      </c>
      <c r="F252" s="23" t="s">
        <v>49</v>
      </c>
      <c r="G252" s="374" t="s">
        <v>556</v>
      </c>
      <c r="H252" s="133">
        <v>244</v>
      </c>
      <c r="I252" s="156"/>
      <c r="J252" s="133"/>
      <c r="K252" s="330" t="s">
        <v>218</v>
      </c>
      <c r="L252" s="330" t="s">
        <v>218</v>
      </c>
      <c r="M252" s="24">
        <v>17338</v>
      </c>
      <c r="N252" s="330">
        <v>19671</v>
      </c>
      <c r="O252" s="368">
        <v>2675</v>
      </c>
      <c r="P252" s="368" t="s">
        <v>515</v>
      </c>
      <c r="Q252" s="368">
        <v>2391</v>
      </c>
      <c r="R252" s="368" t="s">
        <v>515</v>
      </c>
      <c r="S252" s="368">
        <v>1703</v>
      </c>
      <c r="T252" s="368" t="s">
        <v>515</v>
      </c>
      <c r="U252" s="368">
        <v>994</v>
      </c>
      <c r="V252" s="368" t="s">
        <v>515</v>
      </c>
      <c r="W252" s="368">
        <v>908</v>
      </c>
      <c r="X252" s="368" t="s">
        <v>515</v>
      </c>
      <c r="Y252" s="368">
        <v>990</v>
      </c>
      <c r="Z252" s="368" t="s">
        <v>515</v>
      </c>
      <c r="AA252" s="368">
        <v>793</v>
      </c>
      <c r="AB252" s="368" t="s">
        <v>515</v>
      </c>
      <c r="AC252" s="368">
        <v>858</v>
      </c>
      <c r="AD252" s="368" t="s">
        <v>515</v>
      </c>
      <c r="AE252" s="368">
        <v>1171</v>
      </c>
      <c r="AF252" s="368" t="s">
        <v>515</v>
      </c>
      <c r="AG252" s="368">
        <v>1459</v>
      </c>
      <c r="AH252" s="368" t="s">
        <v>515</v>
      </c>
      <c r="AI252" s="368">
        <v>2105</v>
      </c>
      <c r="AJ252" s="368" t="s">
        <v>515</v>
      </c>
      <c r="AK252" s="368">
        <v>2365</v>
      </c>
      <c r="AL252" s="368" t="s">
        <v>515</v>
      </c>
      <c r="AM252" s="368">
        <f t="shared" si="6"/>
        <v>18412</v>
      </c>
    </row>
    <row r="253" spans="1:39" s="90" customFormat="1" ht="18" customHeight="1" x14ac:dyDescent="0.3">
      <c r="A253" s="431">
        <v>122</v>
      </c>
      <c r="B253" s="422" t="s">
        <v>700</v>
      </c>
      <c r="C253" s="11" t="s">
        <v>512</v>
      </c>
      <c r="D253" s="156" t="s">
        <v>516</v>
      </c>
      <c r="E253" s="31" t="s">
        <v>364</v>
      </c>
      <c r="F253" s="23" t="s">
        <v>49</v>
      </c>
      <c r="G253" s="374"/>
      <c r="H253" s="133"/>
      <c r="I253" s="156"/>
      <c r="J253" s="133"/>
      <c r="K253" s="330" t="s">
        <v>218</v>
      </c>
      <c r="L253" s="330" t="s">
        <v>218</v>
      </c>
      <c r="M253" s="24">
        <v>12555</v>
      </c>
      <c r="N253" s="330">
        <v>15826</v>
      </c>
      <c r="O253" s="368">
        <v>1303</v>
      </c>
      <c r="P253" s="368" t="s">
        <v>515</v>
      </c>
      <c r="Q253" s="368">
        <v>1174</v>
      </c>
      <c r="R253" s="368" t="s">
        <v>515</v>
      </c>
      <c r="S253" s="368">
        <v>1472</v>
      </c>
      <c r="T253" s="368" t="s">
        <v>515</v>
      </c>
      <c r="U253" s="368">
        <v>950</v>
      </c>
      <c r="V253" s="368" t="s">
        <v>515</v>
      </c>
      <c r="W253" s="368">
        <v>1331</v>
      </c>
      <c r="X253" s="368" t="s">
        <v>515</v>
      </c>
      <c r="Y253" s="368">
        <v>1172</v>
      </c>
      <c r="Z253" s="368" t="s">
        <v>515</v>
      </c>
      <c r="AA253" s="368">
        <v>1280</v>
      </c>
      <c r="AB253" s="368" t="s">
        <v>515</v>
      </c>
      <c r="AC253" s="368">
        <v>1159</v>
      </c>
      <c r="AD253" s="368" t="s">
        <v>515</v>
      </c>
      <c r="AE253" s="368">
        <v>1194</v>
      </c>
      <c r="AF253" s="368" t="s">
        <v>515</v>
      </c>
      <c r="AG253" s="368">
        <v>998</v>
      </c>
      <c r="AH253" s="368" t="s">
        <v>515</v>
      </c>
      <c r="AI253" s="368">
        <v>1006</v>
      </c>
      <c r="AJ253" s="368" t="s">
        <v>515</v>
      </c>
      <c r="AK253" s="368">
        <v>1145</v>
      </c>
      <c r="AL253" s="368" t="s">
        <v>515</v>
      </c>
      <c r="AM253" s="368">
        <f t="shared" si="6"/>
        <v>14184</v>
      </c>
    </row>
    <row r="254" spans="1:39" s="90" customFormat="1" ht="18" customHeight="1" x14ac:dyDescent="0.3">
      <c r="A254" s="432"/>
      <c r="B254" s="423"/>
      <c r="C254" s="12"/>
      <c r="D254" s="156"/>
      <c r="E254" s="31" t="s">
        <v>48</v>
      </c>
      <c r="F254" s="23" t="s">
        <v>49</v>
      </c>
      <c r="G254" s="374" t="s">
        <v>533</v>
      </c>
      <c r="H254" s="133">
        <v>198</v>
      </c>
      <c r="I254" s="156"/>
      <c r="J254" s="133"/>
      <c r="K254" s="330" t="s">
        <v>218</v>
      </c>
      <c r="L254" s="330" t="s">
        <v>218</v>
      </c>
      <c r="M254" s="24">
        <v>17743</v>
      </c>
      <c r="N254" s="330">
        <v>19362</v>
      </c>
      <c r="O254" s="368">
        <v>2121</v>
      </c>
      <c r="P254" s="368" t="s">
        <v>515</v>
      </c>
      <c r="Q254" s="368">
        <v>1987</v>
      </c>
      <c r="R254" s="368" t="s">
        <v>515</v>
      </c>
      <c r="S254" s="368">
        <v>1425</v>
      </c>
      <c r="T254" s="368" t="s">
        <v>515</v>
      </c>
      <c r="U254" s="368">
        <v>1109</v>
      </c>
      <c r="V254" s="368" t="s">
        <v>515</v>
      </c>
      <c r="W254" s="368">
        <v>1075</v>
      </c>
      <c r="X254" s="368" t="s">
        <v>515</v>
      </c>
      <c r="Y254" s="368">
        <v>684</v>
      </c>
      <c r="Z254" s="368" t="s">
        <v>515</v>
      </c>
      <c r="AA254" s="368">
        <v>817</v>
      </c>
      <c r="AB254" s="368" t="s">
        <v>515</v>
      </c>
      <c r="AC254" s="368">
        <v>803</v>
      </c>
      <c r="AD254" s="368" t="s">
        <v>515</v>
      </c>
      <c r="AE254" s="368">
        <v>999</v>
      </c>
      <c r="AF254" s="368" t="s">
        <v>515</v>
      </c>
      <c r="AG254" s="368">
        <v>1143</v>
      </c>
      <c r="AH254" s="368" t="s">
        <v>515</v>
      </c>
      <c r="AI254" s="368">
        <v>1506</v>
      </c>
      <c r="AJ254" s="368" t="s">
        <v>515</v>
      </c>
      <c r="AK254" s="368">
        <v>1935</v>
      </c>
      <c r="AL254" s="368" t="s">
        <v>515</v>
      </c>
      <c r="AM254" s="368">
        <f t="shared" si="6"/>
        <v>15604</v>
      </c>
    </row>
    <row r="255" spans="1:39" s="90" customFormat="1" ht="18" customHeight="1" x14ac:dyDescent="0.3">
      <c r="A255" s="431">
        <v>123</v>
      </c>
      <c r="B255" s="422" t="s">
        <v>701</v>
      </c>
      <c r="C255" s="11" t="s">
        <v>512</v>
      </c>
      <c r="D255" s="156" t="s">
        <v>557</v>
      </c>
      <c r="E255" s="31" t="s">
        <v>364</v>
      </c>
      <c r="F255" s="23" t="s">
        <v>49</v>
      </c>
      <c r="G255" s="374"/>
      <c r="H255" s="133"/>
      <c r="I255" s="156"/>
      <c r="J255" s="133"/>
      <c r="K255" s="330" t="s">
        <v>218</v>
      </c>
      <c r="L255" s="330" t="s">
        <v>218</v>
      </c>
      <c r="M255" s="24">
        <v>15783</v>
      </c>
      <c r="N255" s="330">
        <v>17231</v>
      </c>
      <c r="O255" s="368">
        <v>1558</v>
      </c>
      <c r="P255" s="368" t="s">
        <v>515</v>
      </c>
      <c r="Q255" s="368">
        <v>1431</v>
      </c>
      <c r="R255" s="368" t="s">
        <v>515</v>
      </c>
      <c r="S255" s="368">
        <v>1399</v>
      </c>
      <c r="T255" s="368" t="s">
        <v>515</v>
      </c>
      <c r="U255" s="368">
        <v>1429</v>
      </c>
      <c r="V255" s="368" t="s">
        <v>515</v>
      </c>
      <c r="W255" s="368">
        <v>1500</v>
      </c>
      <c r="X255" s="368" t="s">
        <v>515</v>
      </c>
      <c r="Y255" s="368">
        <v>1494</v>
      </c>
      <c r="Z255" s="368" t="s">
        <v>515</v>
      </c>
      <c r="AA255" s="368">
        <v>1476</v>
      </c>
      <c r="AB255" s="368" t="s">
        <v>515</v>
      </c>
      <c r="AC255" s="368">
        <v>1506</v>
      </c>
      <c r="AD255" s="368" t="s">
        <v>515</v>
      </c>
      <c r="AE255" s="368">
        <v>1592</v>
      </c>
      <c r="AF255" s="368" t="s">
        <v>515</v>
      </c>
      <c r="AG255" s="368">
        <v>1582</v>
      </c>
      <c r="AH255" s="368" t="s">
        <v>515</v>
      </c>
      <c r="AI255" s="368">
        <v>1339</v>
      </c>
      <c r="AJ255" s="368" t="s">
        <v>515</v>
      </c>
      <c r="AK255" s="368">
        <v>1420</v>
      </c>
      <c r="AL255" s="368" t="s">
        <v>515</v>
      </c>
      <c r="AM255" s="368">
        <f t="shared" si="6"/>
        <v>17726</v>
      </c>
    </row>
    <row r="256" spans="1:39" s="90" customFormat="1" ht="18" customHeight="1" x14ac:dyDescent="0.3">
      <c r="A256" s="432"/>
      <c r="B256" s="423"/>
      <c r="C256" s="12"/>
      <c r="D256" s="156"/>
      <c r="E256" s="31" t="s">
        <v>48</v>
      </c>
      <c r="F256" s="23" t="s">
        <v>49</v>
      </c>
      <c r="G256" s="374" t="s">
        <v>521</v>
      </c>
      <c r="H256" s="133">
        <v>210</v>
      </c>
      <c r="I256" s="156"/>
      <c r="J256" s="133"/>
      <c r="K256" s="330" t="s">
        <v>218</v>
      </c>
      <c r="L256" s="330" t="s">
        <v>218</v>
      </c>
      <c r="M256" s="24">
        <v>14125</v>
      </c>
      <c r="N256" s="330">
        <v>12027</v>
      </c>
      <c r="O256" s="368">
        <v>1377</v>
      </c>
      <c r="P256" s="368" t="s">
        <v>515</v>
      </c>
      <c r="Q256" s="368">
        <v>985</v>
      </c>
      <c r="R256" s="368" t="s">
        <v>515</v>
      </c>
      <c r="S256" s="368">
        <v>728</v>
      </c>
      <c r="T256" s="368" t="s">
        <v>515</v>
      </c>
      <c r="U256" s="368">
        <v>607</v>
      </c>
      <c r="V256" s="368" t="s">
        <v>515</v>
      </c>
      <c r="W256" s="368">
        <v>427</v>
      </c>
      <c r="X256" s="368" t="s">
        <v>515</v>
      </c>
      <c r="Y256" s="368">
        <v>262</v>
      </c>
      <c r="Z256" s="368" t="s">
        <v>515</v>
      </c>
      <c r="AA256" s="368">
        <v>188</v>
      </c>
      <c r="AB256" s="368" t="s">
        <v>515</v>
      </c>
      <c r="AC256" s="368">
        <v>295</v>
      </c>
      <c r="AD256" s="368" t="s">
        <v>515</v>
      </c>
      <c r="AE256" s="368">
        <v>475</v>
      </c>
      <c r="AF256" s="368" t="s">
        <v>515</v>
      </c>
      <c r="AG256" s="368">
        <v>785</v>
      </c>
      <c r="AH256" s="368" t="s">
        <v>515</v>
      </c>
      <c r="AI256" s="368">
        <v>823</v>
      </c>
      <c r="AJ256" s="368" t="s">
        <v>515</v>
      </c>
      <c r="AK256" s="368">
        <v>844</v>
      </c>
      <c r="AL256" s="368" t="s">
        <v>515</v>
      </c>
      <c r="AM256" s="368">
        <f t="shared" si="6"/>
        <v>7796</v>
      </c>
    </row>
    <row r="257" spans="1:39" s="90" customFormat="1" ht="18" customHeight="1" x14ac:dyDescent="0.3">
      <c r="A257" s="431">
        <v>124</v>
      </c>
      <c r="B257" s="422" t="s">
        <v>702</v>
      </c>
      <c r="C257" s="11" t="s">
        <v>512</v>
      </c>
      <c r="D257" s="156" t="s">
        <v>516</v>
      </c>
      <c r="E257" s="31" t="s">
        <v>364</v>
      </c>
      <c r="F257" s="23" t="s">
        <v>49</v>
      </c>
      <c r="G257" s="374"/>
      <c r="H257" s="133"/>
      <c r="I257" s="156"/>
      <c r="J257" s="133"/>
      <c r="K257" s="330" t="s">
        <v>218</v>
      </c>
      <c r="L257" s="330" t="s">
        <v>218</v>
      </c>
      <c r="M257" s="24">
        <v>2437</v>
      </c>
      <c r="N257" s="330">
        <v>2384</v>
      </c>
      <c r="O257" s="368">
        <v>249</v>
      </c>
      <c r="P257" s="368" t="s">
        <v>515</v>
      </c>
      <c r="Q257" s="368">
        <v>234</v>
      </c>
      <c r="R257" s="368" t="s">
        <v>515</v>
      </c>
      <c r="S257" s="368">
        <v>227</v>
      </c>
      <c r="T257" s="368" t="s">
        <v>515</v>
      </c>
      <c r="U257" s="368">
        <v>253</v>
      </c>
      <c r="V257" s="368" t="s">
        <v>515</v>
      </c>
      <c r="W257" s="368">
        <v>225</v>
      </c>
      <c r="X257" s="368" t="s">
        <v>515</v>
      </c>
      <c r="Y257" s="368">
        <v>241</v>
      </c>
      <c r="Z257" s="368" t="s">
        <v>515</v>
      </c>
      <c r="AA257" s="368">
        <v>237</v>
      </c>
      <c r="AB257" s="368" t="s">
        <v>515</v>
      </c>
      <c r="AC257" s="368">
        <v>218</v>
      </c>
      <c r="AD257" s="368" t="s">
        <v>515</v>
      </c>
      <c r="AE257" s="368">
        <v>272</v>
      </c>
      <c r="AF257" s="368" t="s">
        <v>515</v>
      </c>
      <c r="AG257" s="368">
        <v>241</v>
      </c>
      <c r="AH257" s="368" t="s">
        <v>515</v>
      </c>
      <c r="AI257" s="368">
        <v>235</v>
      </c>
      <c r="AJ257" s="368" t="s">
        <v>515</v>
      </c>
      <c r="AK257" s="368">
        <v>233</v>
      </c>
      <c r="AL257" s="368" t="s">
        <v>515</v>
      </c>
      <c r="AM257" s="368">
        <f t="shared" si="6"/>
        <v>2865</v>
      </c>
    </row>
    <row r="258" spans="1:39" s="90" customFormat="1" ht="18" customHeight="1" x14ac:dyDescent="0.3">
      <c r="A258" s="432"/>
      <c r="B258" s="423"/>
      <c r="C258" s="12"/>
      <c r="D258" s="156"/>
      <c r="E258" s="31" t="s">
        <v>48</v>
      </c>
      <c r="F258" s="23" t="s">
        <v>49</v>
      </c>
      <c r="G258" s="374" t="s">
        <v>521</v>
      </c>
      <c r="H258" s="133">
        <v>32</v>
      </c>
      <c r="I258" s="156"/>
      <c r="J258" s="133"/>
      <c r="K258" s="330" t="s">
        <v>218</v>
      </c>
      <c r="L258" s="330" t="s">
        <v>218</v>
      </c>
      <c r="M258" s="24">
        <v>7553</v>
      </c>
      <c r="N258" s="330">
        <v>7347</v>
      </c>
      <c r="O258" s="368">
        <v>671</v>
      </c>
      <c r="P258" s="368" t="s">
        <v>515</v>
      </c>
      <c r="Q258" s="368">
        <v>637</v>
      </c>
      <c r="R258" s="368" t="s">
        <v>515</v>
      </c>
      <c r="S258" s="368">
        <v>560</v>
      </c>
      <c r="T258" s="368" t="s">
        <v>515</v>
      </c>
      <c r="U258" s="368">
        <v>638</v>
      </c>
      <c r="V258" s="368" t="s">
        <v>515</v>
      </c>
      <c r="W258" s="368">
        <v>472</v>
      </c>
      <c r="X258" s="368" t="s">
        <v>515</v>
      </c>
      <c r="Y258" s="368">
        <v>554</v>
      </c>
      <c r="Z258" s="368" t="s">
        <v>515</v>
      </c>
      <c r="AA258" s="368">
        <v>520</v>
      </c>
      <c r="AB258" s="368" t="s">
        <v>515</v>
      </c>
      <c r="AC258" s="368">
        <v>520</v>
      </c>
      <c r="AD258" s="368" t="s">
        <v>515</v>
      </c>
      <c r="AE258" s="368">
        <v>687</v>
      </c>
      <c r="AF258" s="368" t="s">
        <v>515</v>
      </c>
      <c r="AG258" s="368">
        <v>624</v>
      </c>
      <c r="AH258" s="368" t="s">
        <v>515</v>
      </c>
      <c r="AI258" s="368">
        <v>735</v>
      </c>
      <c r="AJ258" s="368" t="s">
        <v>515</v>
      </c>
      <c r="AK258" s="368">
        <v>668</v>
      </c>
      <c r="AL258" s="368" t="s">
        <v>515</v>
      </c>
      <c r="AM258" s="368">
        <f t="shared" si="6"/>
        <v>7286</v>
      </c>
    </row>
    <row r="259" spans="1:39" s="90" customFormat="1" ht="18" customHeight="1" x14ac:dyDescent="0.3">
      <c r="A259" s="431">
        <v>125</v>
      </c>
      <c r="B259" s="422" t="s">
        <v>703</v>
      </c>
      <c r="C259" s="11" t="s">
        <v>512</v>
      </c>
      <c r="D259" s="156" t="s">
        <v>516</v>
      </c>
      <c r="E259" s="31" t="s">
        <v>364</v>
      </c>
      <c r="F259" s="23" t="s">
        <v>49</v>
      </c>
      <c r="G259" s="374"/>
      <c r="H259" s="133"/>
      <c r="I259" s="156"/>
      <c r="J259" s="133"/>
      <c r="K259" s="330" t="s">
        <v>218</v>
      </c>
      <c r="L259" s="330" t="s">
        <v>218</v>
      </c>
      <c r="M259" s="24">
        <v>179915</v>
      </c>
      <c r="N259" s="330">
        <v>182927</v>
      </c>
      <c r="O259" s="368">
        <v>18599</v>
      </c>
      <c r="P259" s="368" t="s">
        <v>515</v>
      </c>
      <c r="Q259" s="368">
        <v>16721</v>
      </c>
      <c r="R259" s="368" t="s">
        <v>515</v>
      </c>
      <c r="S259" s="368">
        <v>14198</v>
      </c>
      <c r="T259" s="368" t="s">
        <v>515</v>
      </c>
      <c r="U259" s="368">
        <v>15699</v>
      </c>
      <c r="V259" s="368" t="s">
        <v>515</v>
      </c>
      <c r="W259" s="368">
        <v>13289</v>
      </c>
      <c r="X259" s="368" t="s">
        <v>515</v>
      </c>
      <c r="Y259" s="368">
        <v>14904</v>
      </c>
      <c r="Z259" s="368" t="s">
        <v>515</v>
      </c>
      <c r="AA259" s="368">
        <v>12272</v>
      </c>
      <c r="AB259" s="368" t="s">
        <v>515</v>
      </c>
      <c r="AC259" s="368">
        <v>11356</v>
      </c>
      <c r="AD259" s="368" t="s">
        <v>515</v>
      </c>
      <c r="AE259" s="368">
        <v>12466</v>
      </c>
      <c r="AF259" s="368" t="s">
        <v>515</v>
      </c>
      <c r="AG259" s="368">
        <v>15244</v>
      </c>
      <c r="AH259" s="368" t="s">
        <v>515</v>
      </c>
      <c r="AI259" s="368">
        <v>15809</v>
      </c>
      <c r="AJ259" s="368" t="s">
        <v>515</v>
      </c>
      <c r="AK259" s="368">
        <v>16844</v>
      </c>
      <c r="AL259" s="368" t="s">
        <v>515</v>
      </c>
      <c r="AM259" s="368">
        <f t="shared" si="6"/>
        <v>177401</v>
      </c>
    </row>
    <row r="260" spans="1:39" s="90" customFormat="1" ht="18" customHeight="1" x14ac:dyDescent="0.3">
      <c r="A260" s="432"/>
      <c r="B260" s="423"/>
      <c r="C260" s="12"/>
      <c r="D260" s="156"/>
      <c r="E260" s="31" t="s">
        <v>48</v>
      </c>
      <c r="F260" s="23" t="s">
        <v>49</v>
      </c>
      <c r="G260" s="374" t="s">
        <v>558</v>
      </c>
      <c r="H260" s="133">
        <v>692</v>
      </c>
      <c r="I260" s="156"/>
      <c r="J260" s="133"/>
      <c r="K260" s="330" t="s">
        <v>218</v>
      </c>
      <c r="L260" s="330" t="s">
        <v>218</v>
      </c>
      <c r="M260" s="24">
        <v>84561</v>
      </c>
      <c r="N260" s="330">
        <v>66719</v>
      </c>
      <c r="O260" s="368">
        <v>6365</v>
      </c>
      <c r="P260" s="368" t="s">
        <v>515</v>
      </c>
      <c r="Q260" s="368">
        <v>5427</v>
      </c>
      <c r="R260" s="368" t="s">
        <v>515</v>
      </c>
      <c r="S260" s="368">
        <v>4687</v>
      </c>
      <c r="T260" s="368" t="s">
        <v>515</v>
      </c>
      <c r="U260" s="368">
        <v>5155</v>
      </c>
      <c r="V260" s="368" t="s">
        <v>515</v>
      </c>
      <c r="W260" s="368">
        <v>4453</v>
      </c>
      <c r="X260" s="368" t="s">
        <v>515</v>
      </c>
      <c r="Y260" s="368">
        <v>4938</v>
      </c>
      <c r="Z260" s="368" t="s">
        <v>515</v>
      </c>
      <c r="AA260" s="368">
        <v>4647</v>
      </c>
      <c r="AB260" s="368" t="s">
        <v>515</v>
      </c>
      <c r="AC260" s="368">
        <v>4372</v>
      </c>
      <c r="AD260" s="368" t="s">
        <v>515</v>
      </c>
      <c r="AE260" s="368">
        <v>4474</v>
      </c>
      <c r="AF260" s="368" t="s">
        <v>515</v>
      </c>
      <c r="AG260" s="368">
        <v>5236</v>
      </c>
      <c r="AH260" s="368" t="s">
        <v>515</v>
      </c>
      <c r="AI260" s="368">
        <v>4959</v>
      </c>
      <c r="AJ260" s="368" t="s">
        <v>515</v>
      </c>
      <c r="AK260" s="368">
        <v>5750</v>
      </c>
      <c r="AL260" s="368" t="s">
        <v>515</v>
      </c>
      <c r="AM260" s="368">
        <f t="shared" si="6"/>
        <v>60463</v>
      </c>
    </row>
    <row r="261" spans="1:39" s="90" customFormat="1" ht="18" customHeight="1" x14ac:dyDescent="0.3">
      <c r="A261" s="431">
        <v>126</v>
      </c>
      <c r="B261" s="422" t="s">
        <v>704</v>
      </c>
      <c r="C261" s="11" t="s">
        <v>512</v>
      </c>
      <c r="D261" s="156" t="s">
        <v>516</v>
      </c>
      <c r="E261" s="31" t="s">
        <v>364</v>
      </c>
      <c r="F261" s="23" t="s">
        <v>49</v>
      </c>
      <c r="G261" s="374"/>
      <c r="H261" s="133"/>
      <c r="I261" s="156"/>
      <c r="J261" s="133"/>
      <c r="K261" s="330"/>
      <c r="L261" s="330"/>
      <c r="M261" s="24"/>
      <c r="N261" s="330"/>
      <c r="O261" s="368"/>
      <c r="P261" s="368"/>
      <c r="Q261" s="368"/>
      <c r="R261" s="368"/>
      <c r="S261" s="368"/>
      <c r="T261" s="368"/>
      <c r="U261" s="368"/>
      <c r="V261" s="368"/>
      <c r="W261" s="368"/>
      <c r="X261" s="368"/>
      <c r="Y261" s="368"/>
      <c r="Z261" s="368"/>
      <c r="AA261" s="368"/>
      <c r="AB261" s="368"/>
      <c r="AC261" s="368"/>
      <c r="AD261" s="368"/>
      <c r="AE261" s="368"/>
      <c r="AF261" s="368"/>
      <c r="AG261" s="368"/>
      <c r="AH261" s="368"/>
      <c r="AI261" s="368"/>
      <c r="AJ261" s="368"/>
      <c r="AK261" s="368"/>
      <c r="AL261" s="368"/>
      <c r="AM261" s="368"/>
    </row>
    <row r="262" spans="1:39" s="90" customFormat="1" ht="18" customHeight="1" x14ac:dyDescent="0.3">
      <c r="A262" s="432"/>
      <c r="B262" s="423"/>
      <c r="C262" s="12"/>
      <c r="D262" s="156"/>
      <c r="E262" s="31" t="s">
        <v>48</v>
      </c>
      <c r="F262" s="23" t="s">
        <v>49</v>
      </c>
      <c r="G262" s="374" t="s">
        <v>521</v>
      </c>
      <c r="H262" s="133">
        <v>84</v>
      </c>
      <c r="I262" s="156"/>
      <c r="J262" s="133"/>
      <c r="K262" s="330" t="s">
        <v>218</v>
      </c>
      <c r="L262" s="330" t="s">
        <v>218</v>
      </c>
      <c r="M262" s="24">
        <v>11536</v>
      </c>
      <c r="N262" s="330">
        <v>12141</v>
      </c>
      <c r="O262" s="368">
        <v>1231</v>
      </c>
      <c r="P262" s="368" t="s">
        <v>515</v>
      </c>
      <c r="Q262" s="368">
        <v>1146</v>
      </c>
      <c r="R262" s="368" t="s">
        <v>515</v>
      </c>
      <c r="S262" s="368">
        <v>938</v>
      </c>
      <c r="T262" s="368" t="s">
        <v>515</v>
      </c>
      <c r="U262" s="368">
        <v>878</v>
      </c>
      <c r="V262" s="368" t="s">
        <v>515</v>
      </c>
      <c r="W262" s="368">
        <v>569</v>
      </c>
      <c r="X262" s="368" t="s">
        <v>515</v>
      </c>
      <c r="Y262" s="368">
        <v>470</v>
      </c>
      <c r="Z262" s="368" t="s">
        <v>515</v>
      </c>
      <c r="AA262" s="368">
        <v>361</v>
      </c>
      <c r="AB262" s="368" t="s">
        <v>515</v>
      </c>
      <c r="AC262" s="368">
        <v>482</v>
      </c>
      <c r="AD262" s="368" t="s">
        <v>515</v>
      </c>
      <c r="AE262" s="368">
        <v>768</v>
      </c>
      <c r="AF262" s="368" t="s">
        <v>515</v>
      </c>
      <c r="AG262" s="368">
        <v>913</v>
      </c>
      <c r="AH262" s="368" t="s">
        <v>515</v>
      </c>
      <c r="AI262" s="368">
        <v>1173</v>
      </c>
      <c r="AJ262" s="368" t="s">
        <v>515</v>
      </c>
      <c r="AK262" s="368">
        <v>1246</v>
      </c>
      <c r="AL262" s="368" t="s">
        <v>515</v>
      </c>
      <c r="AM262" s="368">
        <f>SUM(O262:AK262)</f>
        <v>10175</v>
      </c>
    </row>
    <row r="263" spans="1:39" s="90" customFormat="1" ht="18" customHeight="1" x14ac:dyDescent="0.3">
      <c r="A263" s="431">
        <v>127</v>
      </c>
      <c r="B263" s="422" t="s">
        <v>705</v>
      </c>
      <c r="C263" s="11" t="s">
        <v>512</v>
      </c>
      <c r="D263" s="156" t="s">
        <v>516</v>
      </c>
      <c r="E263" s="31" t="s">
        <v>364</v>
      </c>
      <c r="F263" s="23" t="s">
        <v>49</v>
      </c>
      <c r="G263" s="374"/>
      <c r="H263" s="133"/>
      <c r="I263" s="156"/>
      <c r="J263" s="133"/>
      <c r="K263" s="330" t="s">
        <v>218</v>
      </c>
      <c r="L263" s="330" t="s">
        <v>218</v>
      </c>
      <c r="M263" s="24">
        <v>18395</v>
      </c>
      <c r="N263" s="330">
        <v>17766</v>
      </c>
      <c r="O263" s="368">
        <v>1923</v>
      </c>
      <c r="P263" s="368" t="s">
        <v>515</v>
      </c>
      <c r="Q263" s="368">
        <v>2034</v>
      </c>
      <c r="R263" s="368" t="s">
        <v>515</v>
      </c>
      <c r="S263" s="368">
        <v>1713</v>
      </c>
      <c r="T263" s="368" t="s">
        <v>515</v>
      </c>
      <c r="U263" s="368">
        <v>1741</v>
      </c>
      <c r="V263" s="368" t="s">
        <v>515</v>
      </c>
      <c r="W263" s="368">
        <v>1363</v>
      </c>
      <c r="X263" s="368" t="s">
        <v>515</v>
      </c>
      <c r="Y263" s="368">
        <v>1453</v>
      </c>
      <c r="Z263" s="368" t="s">
        <v>515</v>
      </c>
      <c r="AA263" s="368">
        <v>1412</v>
      </c>
      <c r="AB263" s="368" t="s">
        <v>515</v>
      </c>
      <c r="AC263" s="368">
        <v>1534</v>
      </c>
      <c r="AD263" s="368" t="s">
        <v>515</v>
      </c>
      <c r="AE263" s="368">
        <v>1855</v>
      </c>
      <c r="AF263" s="368" t="s">
        <v>515</v>
      </c>
      <c r="AG263" s="368">
        <v>1883</v>
      </c>
      <c r="AH263" s="368" t="s">
        <v>515</v>
      </c>
      <c r="AI263" s="368">
        <v>2091</v>
      </c>
      <c r="AJ263" s="368" t="s">
        <v>515</v>
      </c>
      <c r="AK263" s="368">
        <v>1970</v>
      </c>
      <c r="AL263" s="368" t="s">
        <v>515</v>
      </c>
      <c r="AM263" s="368">
        <f>SUM(O263:AK263)</f>
        <v>20972</v>
      </c>
    </row>
    <row r="264" spans="1:39" s="90" customFormat="1" ht="18" customHeight="1" x14ac:dyDescent="0.3">
      <c r="A264" s="432"/>
      <c r="B264" s="423"/>
      <c r="C264" s="12"/>
      <c r="D264" s="156"/>
      <c r="E264" s="31" t="s">
        <v>48</v>
      </c>
      <c r="F264" s="23" t="s">
        <v>49</v>
      </c>
      <c r="G264" s="374" t="s">
        <v>559</v>
      </c>
      <c r="H264" s="133">
        <v>206</v>
      </c>
      <c r="I264" s="156"/>
      <c r="J264" s="133"/>
      <c r="K264" s="330" t="s">
        <v>218</v>
      </c>
      <c r="L264" s="330" t="s">
        <v>218</v>
      </c>
      <c r="M264" s="24">
        <v>14996</v>
      </c>
      <c r="N264" s="330">
        <v>12060</v>
      </c>
      <c r="O264" s="368">
        <v>1346</v>
      </c>
      <c r="P264" s="368" t="s">
        <v>515</v>
      </c>
      <c r="Q264" s="368">
        <v>1226</v>
      </c>
      <c r="R264" s="368" t="s">
        <v>515</v>
      </c>
      <c r="S264" s="368">
        <v>819</v>
      </c>
      <c r="T264" s="368" t="s">
        <v>515</v>
      </c>
      <c r="U264" s="368">
        <v>752</v>
      </c>
      <c r="V264" s="368" t="s">
        <v>515</v>
      </c>
      <c r="W264" s="368">
        <v>515</v>
      </c>
      <c r="X264" s="368" t="s">
        <v>515</v>
      </c>
      <c r="Y264" s="368">
        <v>605</v>
      </c>
      <c r="Z264" s="368" t="s">
        <v>515</v>
      </c>
      <c r="AA264" s="368">
        <v>516</v>
      </c>
      <c r="AB264" s="368" t="s">
        <v>515</v>
      </c>
      <c r="AC264" s="368">
        <v>770</v>
      </c>
      <c r="AD264" s="368" t="s">
        <v>515</v>
      </c>
      <c r="AE264" s="368">
        <v>1096</v>
      </c>
      <c r="AF264" s="368" t="s">
        <v>515</v>
      </c>
      <c r="AG264" s="368">
        <v>1135</v>
      </c>
      <c r="AH264" s="368" t="s">
        <v>515</v>
      </c>
      <c r="AI264" s="368">
        <v>1380</v>
      </c>
      <c r="AJ264" s="368" t="s">
        <v>515</v>
      </c>
      <c r="AK264" s="368">
        <v>1301</v>
      </c>
      <c r="AL264" s="368" t="s">
        <v>515</v>
      </c>
      <c r="AM264" s="368">
        <f>SUM(O264:AK264)</f>
        <v>11461</v>
      </c>
    </row>
    <row r="265" spans="1:39" s="90" customFormat="1" ht="18" customHeight="1" x14ac:dyDescent="0.3">
      <c r="A265" s="431">
        <v>128</v>
      </c>
      <c r="B265" s="422" t="s">
        <v>706</v>
      </c>
      <c r="C265" s="11" t="s">
        <v>512</v>
      </c>
      <c r="D265" s="156" t="s">
        <v>516</v>
      </c>
      <c r="E265" s="31" t="s">
        <v>364</v>
      </c>
      <c r="F265" s="23" t="s">
        <v>49</v>
      </c>
      <c r="G265" s="374"/>
      <c r="H265" s="133"/>
      <c r="I265" s="156"/>
      <c r="J265" s="133"/>
      <c r="K265" s="330" t="s">
        <v>218</v>
      </c>
      <c r="L265" s="330" t="s">
        <v>218</v>
      </c>
      <c r="M265" s="24">
        <v>0</v>
      </c>
      <c r="N265" s="330">
        <v>0</v>
      </c>
      <c r="O265" s="368">
        <v>2147</v>
      </c>
      <c r="P265" s="368" t="s">
        <v>515</v>
      </c>
      <c r="Q265" s="368">
        <v>1975</v>
      </c>
      <c r="R265" s="368" t="s">
        <v>515</v>
      </c>
      <c r="S265" s="368">
        <v>1669</v>
      </c>
      <c r="T265" s="368" t="s">
        <v>515</v>
      </c>
      <c r="U265" s="368">
        <v>1452</v>
      </c>
      <c r="V265" s="368" t="s">
        <v>515</v>
      </c>
      <c r="W265" s="368">
        <v>1536</v>
      </c>
      <c r="X265" s="368" t="s">
        <v>515</v>
      </c>
      <c r="Y265" s="368">
        <v>1228</v>
      </c>
      <c r="Z265" s="368" t="s">
        <v>515</v>
      </c>
      <c r="AA265" s="368">
        <v>1014</v>
      </c>
      <c r="AB265" s="368" t="s">
        <v>515</v>
      </c>
      <c r="AC265" s="368">
        <v>1094</v>
      </c>
      <c r="AD265" s="368" t="s">
        <v>515</v>
      </c>
      <c r="AE265" s="368">
        <v>1203</v>
      </c>
      <c r="AF265" s="368" t="s">
        <v>515</v>
      </c>
      <c r="AG265" s="368">
        <v>1206</v>
      </c>
      <c r="AH265" s="368" t="s">
        <v>515</v>
      </c>
      <c r="AI265" s="368">
        <v>1602</v>
      </c>
      <c r="AJ265" s="368" t="s">
        <v>515</v>
      </c>
      <c r="AK265" s="368">
        <v>1363</v>
      </c>
      <c r="AL265" s="368" t="s">
        <v>515</v>
      </c>
      <c r="AM265" s="368">
        <f>SUM(O265:AK265)</f>
        <v>17489</v>
      </c>
    </row>
    <row r="266" spans="1:39" s="90" customFormat="1" ht="18" customHeight="1" x14ac:dyDescent="0.3">
      <c r="A266" s="432"/>
      <c r="B266" s="423"/>
      <c r="C266" s="12"/>
      <c r="D266" s="156"/>
      <c r="E266" s="31" t="s">
        <v>48</v>
      </c>
      <c r="F266" s="23" t="s">
        <v>49</v>
      </c>
      <c r="G266" s="374" t="s">
        <v>559</v>
      </c>
      <c r="H266" s="133">
        <v>206</v>
      </c>
      <c r="I266" s="156"/>
      <c r="J266" s="133"/>
      <c r="K266" s="330" t="s">
        <v>218</v>
      </c>
      <c r="L266" s="330" t="s">
        <v>218</v>
      </c>
      <c r="M266" s="24">
        <v>0</v>
      </c>
      <c r="N266" s="330">
        <v>0</v>
      </c>
      <c r="O266" s="368">
        <v>1178</v>
      </c>
      <c r="P266" s="368" t="s">
        <v>515</v>
      </c>
      <c r="Q266" s="368">
        <v>960</v>
      </c>
      <c r="R266" s="368" t="s">
        <v>515</v>
      </c>
      <c r="S266" s="368">
        <v>875</v>
      </c>
      <c r="T266" s="368" t="s">
        <v>515</v>
      </c>
      <c r="U266" s="368">
        <v>644</v>
      </c>
      <c r="V266" s="368" t="s">
        <v>515</v>
      </c>
      <c r="W266" s="368">
        <v>595</v>
      </c>
      <c r="X266" s="368" t="s">
        <v>515</v>
      </c>
      <c r="Y266" s="368">
        <v>428</v>
      </c>
      <c r="Z266" s="368" t="s">
        <v>515</v>
      </c>
      <c r="AA266" s="368">
        <v>308</v>
      </c>
      <c r="AB266" s="368" t="s">
        <v>515</v>
      </c>
      <c r="AC266" s="368">
        <v>435</v>
      </c>
      <c r="AD266" s="368" t="s">
        <v>515</v>
      </c>
      <c r="AE266" s="368">
        <v>614</v>
      </c>
      <c r="AF266" s="368" t="s">
        <v>515</v>
      </c>
      <c r="AG266" s="368">
        <v>729</v>
      </c>
      <c r="AH266" s="368" t="s">
        <v>515</v>
      </c>
      <c r="AI266" s="368">
        <v>1265</v>
      </c>
      <c r="AJ266" s="368" t="s">
        <v>515</v>
      </c>
      <c r="AK266" s="368">
        <v>1075</v>
      </c>
      <c r="AL266" s="368" t="s">
        <v>515</v>
      </c>
      <c r="AM266" s="368">
        <f>SUM(O266:AK266)</f>
        <v>9106</v>
      </c>
    </row>
    <row r="267" spans="1:39" s="90" customFormat="1" ht="18" customHeight="1" x14ac:dyDescent="0.3">
      <c r="A267" s="431">
        <v>129</v>
      </c>
      <c r="B267" s="422" t="s">
        <v>707</v>
      </c>
      <c r="C267" s="11" t="s">
        <v>512</v>
      </c>
      <c r="D267" s="156" t="s">
        <v>516</v>
      </c>
      <c r="E267" s="31" t="s">
        <v>364</v>
      </c>
      <c r="F267" s="23" t="s">
        <v>49</v>
      </c>
      <c r="G267" s="374"/>
      <c r="H267" s="133"/>
      <c r="I267" s="156"/>
      <c r="J267" s="133"/>
      <c r="K267" s="330"/>
      <c r="L267" s="330"/>
      <c r="M267" s="24"/>
      <c r="N267" s="330"/>
      <c r="O267" s="368"/>
      <c r="P267" s="368"/>
      <c r="Q267" s="368"/>
      <c r="R267" s="368"/>
      <c r="S267" s="368"/>
      <c r="T267" s="368"/>
      <c r="U267" s="368"/>
      <c r="V267" s="368"/>
      <c r="W267" s="368"/>
      <c r="X267" s="368"/>
      <c r="Y267" s="368"/>
      <c r="Z267" s="368"/>
      <c r="AA267" s="368"/>
      <c r="AB267" s="368"/>
      <c r="AC267" s="368"/>
      <c r="AD267" s="368"/>
      <c r="AE267" s="368"/>
      <c r="AF267" s="368"/>
      <c r="AG267" s="368"/>
      <c r="AH267" s="368"/>
      <c r="AI267" s="368"/>
      <c r="AJ267" s="368"/>
      <c r="AK267" s="368"/>
      <c r="AL267" s="368"/>
      <c r="AM267" s="368"/>
    </row>
    <row r="268" spans="1:39" s="90" customFormat="1" ht="18" customHeight="1" x14ac:dyDescent="0.3">
      <c r="A268" s="432"/>
      <c r="B268" s="423"/>
      <c r="C268" s="12"/>
      <c r="D268" s="156"/>
      <c r="E268" s="31" t="s">
        <v>48</v>
      </c>
      <c r="F268" s="23" t="s">
        <v>49</v>
      </c>
      <c r="G268" s="374" t="s">
        <v>559</v>
      </c>
      <c r="H268" s="133">
        <v>81</v>
      </c>
      <c r="I268" s="156"/>
      <c r="J268" s="133"/>
      <c r="K268" s="330" t="s">
        <v>218</v>
      </c>
      <c r="L268" s="330" t="s">
        <v>218</v>
      </c>
      <c r="M268" s="24">
        <v>6627</v>
      </c>
      <c r="N268" s="330">
        <v>6098</v>
      </c>
      <c r="O268" s="368">
        <v>740</v>
      </c>
      <c r="P268" s="368" t="s">
        <v>515</v>
      </c>
      <c r="Q268" s="368">
        <v>700</v>
      </c>
      <c r="R268" s="368" t="s">
        <v>515</v>
      </c>
      <c r="S268" s="368">
        <v>572</v>
      </c>
      <c r="T268" s="368" t="s">
        <v>515</v>
      </c>
      <c r="U268" s="368">
        <v>402</v>
      </c>
      <c r="V268" s="368" t="s">
        <v>515</v>
      </c>
      <c r="W268" s="368">
        <v>245</v>
      </c>
      <c r="X268" s="368" t="s">
        <v>515</v>
      </c>
      <c r="Y268" s="368">
        <v>249</v>
      </c>
      <c r="Z268" s="368" t="s">
        <v>515</v>
      </c>
      <c r="AA268" s="368">
        <v>236</v>
      </c>
      <c r="AB268" s="368" t="s">
        <v>515</v>
      </c>
      <c r="AC268" s="368">
        <v>255</v>
      </c>
      <c r="AD268" s="368" t="s">
        <v>515</v>
      </c>
      <c r="AE268" s="368">
        <v>362</v>
      </c>
      <c r="AF268" s="368" t="s">
        <v>515</v>
      </c>
      <c r="AG268" s="368">
        <v>424</v>
      </c>
      <c r="AH268" s="368" t="s">
        <v>515</v>
      </c>
      <c r="AI268" s="368">
        <v>638</v>
      </c>
      <c r="AJ268" s="368" t="s">
        <v>515</v>
      </c>
      <c r="AK268" s="368">
        <v>809</v>
      </c>
      <c r="AL268" s="368" t="s">
        <v>515</v>
      </c>
      <c r="AM268" s="368">
        <f>SUM(O268:AK268)</f>
        <v>5632</v>
      </c>
    </row>
    <row r="269" spans="1:39" s="90" customFormat="1" ht="18" customHeight="1" x14ac:dyDescent="0.3">
      <c r="A269" s="431">
        <v>130</v>
      </c>
      <c r="B269" s="422" t="s">
        <v>708</v>
      </c>
      <c r="C269" s="11" t="s">
        <v>512</v>
      </c>
      <c r="D269" s="156" t="s">
        <v>516</v>
      </c>
      <c r="E269" s="31" t="s">
        <v>364</v>
      </c>
      <c r="F269" s="23" t="s">
        <v>49</v>
      </c>
      <c r="G269" s="374"/>
      <c r="H269" s="133"/>
      <c r="I269" s="156"/>
      <c r="J269" s="133"/>
      <c r="K269" s="330"/>
      <c r="L269" s="330"/>
      <c r="M269" s="24"/>
      <c r="N269" s="330"/>
      <c r="O269" s="368"/>
      <c r="P269" s="368"/>
      <c r="Q269" s="368"/>
      <c r="R269" s="368"/>
      <c r="S269" s="368"/>
      <c r="T269" s="368"/>
      <c r="U269" s="368"/>
      <c r="V269" s="368"/>
      <c r="W269" s="368"/>
      <c r="X269" s="368"/>
      <c r="Y269" s="368"/>
      <c r="Z269" s="368"/>
      <c r="AA269" s="368"/>
      <c r="AB269" s="368"/>
      <c r="AC269" s="368"/>
      <c r="AD269" s="368"/>
      <c r="AE269" s="368"/>
      <c r="AF269" s="368"/>
      <c r="AG269" s="368"/>
      <c r="AH269" s="368"/>
      <c r="AI269" s="368"/>
      <c r="AJ269" s="368"/>
      <c r="AK269" s="368"/>
      <c r="AL269" s="368"/>
      <c r="AM269" s="368"/>
    </row>
    <row r="270" spans="1:39" s="90" customFormat="1" ht="18" customHeight="1" x14ac:dyDescent="0.3">
      <c r="A270" s="432"/>
      <c r="B270" s="423"/>
      <c r="C270" s="12"/>
      <c r="D270" s="156"/>
      <c r="E270" s="31" t="s">
        <v>48</v>
      </c>
      <c r="F270" s="23" t="s">
        <v>49</v>
      </c>
      <c r="G270" s="374" t="s">
        <v>559</v>
      </c>
      <c r="H270" s="133">
        <v>58</v>
      </c>
      <c r="I270" s="156"/>
      <c r="J270" s="133"/>
      <c r="K270" s="330" t="s">
        <v>218</v>
      </c>
      <c r="L270" s="330" t="s">
        <v>218</v>
      </c>
      <c r="M270" s="24">
        <v>7203</v>
      </c>
      <c r="N270" s="330">
        <v>7464</v>
      </c>
      <c r="O270" s="368">
        <v>994</v>
      </c>
      <c r="P270" s="368" t="s">
        <v>515</v>
      </c>
      <c r="Q270" s="368">
        <v>932</v>
      </c>
      <c r="R270" s="368" t="s">
        <v>515</v>
      </c>
      <c r="S270" s="368">
        <v>1039</v>
      </c>
      <c r="T270" s="368" t="s">
        <v>515</v>
      </c>
      <c r="U270" s="368">
        <v>825</v>
      </c>
      <c r="V270" s="368" t="s">
        <v>515</v>
      </c>
      <c r="W270" s="368">
        <v>920</v>
      </c>
      <c r="X270" s="368" t="s">
        <v>515</v>
      </c>
      <c r="Y270" s="368">
        <v>696</v>
      </c>
      <c r="Z270" s="368" t="s">
        <v>515</v>
      </c>
      <c r="AA270" s="368">
        <v>553</v>
      </c>
      <c r="AB270" s="368" t="s">
        <v>515</v>
      </c>
      <c r="AC270" s="368">
        <v>529</v>
      </c>
      <c r="AD270" s="368" t="s">
        <v>515</v>
      </c>
      <c r="AE270" s="368">
        <v>716</v>
      </c>
      <c r="AF270" s="368" t="s">
        <v>515</v>
      </c>
      <c r="AG270" s="368">
        <v>601</v>
      </c>
      <c r="AH270" s="368" t="s">
        <v>515</v>
      </c>
      <c r="AI270" s="368">
        <v>947</v>
      </c>
      <c r="AJ270" s="368" t="s">
        <v>515</v>
      </c>
      <c r="AK270" s="368">
        <v>1187</v>
      </c>
      <c r="AL270" s="368" t="s">
        <v>515</v>
      </c>
      <c r="AM270" s="368">
        <f>SUM(O270:AK270)</f>
        <v>9939</v>
      </c>
    </row>
    <row r="271" spans="1:39" s="90" customFormat="1" ht="18" customHeight="1" x14ac:dyDescent="0.3">
      <c r="A271" s="431">
        <v>131</v>
      </c>
      <c r="B271" s="422" t="s">
        <v>709</v>
      </c>
      <c r="C271" s="11" t="s">
        <v>512</v>
      </c>
      <c r="D271" s="156" t="s">
        <v>516</v>
      </c>
      <c r="E271" s="31" t="s">
        <v>364</v>
      </c>
      <c r="F271" s="23" t="s">
        <v>49</v>
      </c>
      <c r="G271" s="374"/>
      <c r="H271" s="133"/>
      <c r="I271" s="156"/>
      <c r="J271" s="133"/>
      <c r="K271" s="330" t="s">
        <v>218</v>
      </c>
      <c r="L271" s="330" t="s">
        <v>218</v>
      </c>
      <c r="M271" s="24">
        <v>1186</v>
      </c>
      <c r="N271" s="330">
        <v>2191</v>
      </c>
      <c r="O271" s="368">
        <v>186</v>
      </c>
      <c r="P271" s="368" t="s">
        <v>515</v>
      </c>
      <c r="Q271" s="368">
        <v>195</v>
      </c>
      <c r="R271" s="368" t="s">
        <v>515</v>
      </c>
      <c r="S271" s="368">
        <v>194</v>
      </c>
      <c r="T271" s="368" t="s">
        <v>515</v>
      </c>
      <c r="U271" s="368">
        <v>159</v>
      </c>
      <c r="V271" s="368" t="s">
        <v>515</v>
      </c>
      <c r="W271" s="368">
        <v>182</v>
      </c>
      <c r="X271" s="368" t="s">
        <v>515</v>
      </c>
      <c r="Y271" s="368">
        <v>187</v>
      </c>
      <c r="Z271" s="368" t="s">
        <v>515</v>
      </c>
      <c r="AA271" s="368">
        <v>175</v>
      </c>
      <c r="AB271" s="368" t="s">
        <v>515</v>
      </c>
      <c r="AC271" s="368">
        <v>368</v>
      </c>
      <c r="AD271" s="368" t="s">
        <v>515</v>
      </c>
      <c r="AE271" s="368">
        <v>368</v>
      </c>
      <c r="AF271" s="368" t="s">
        <v>515</v>
      </c>
      <c r="AG271" s="368">
        <v>286</v>
      </c>
      <c r="AH271" s="368" t="s">
        <v>515</v>
      </c>
      <c r="AI271" s="368">
        <v>334</v>
      </c>
      <c r="AJ271" s="368" t="s">
        <v>515</v>
      </c>
      <c r="AK271" s="368">
        <v>374</v>
      </c>
      <c r="AL271" s="368" t="s">
        <v>515</v>
      </c>
      <c r="AM271" s="368">
        <f>SUM(O271:AK271)</f>
        <v>3008</v>
      </c>
    </row>
    <row r="272" spans="1:39" s="90" customFormat="1" ht="18" customHeight="1" x14ac:dyDescent="0.3">
      <c r="A272" s="432"/>
      <c r="B272" s="423"/>
      <c r="C272" s="12"/>
      <c r="D272" s="156"/>
      <c r="E272" s="31" t="s">
        <v>48</v>
      </c>
      <c r="F272" s="23" t="s">
        <v>49</v>
      </c>
      <c r="G272" s="374" t="s">
        <v>521</v>
      </c>
      <c r="H272" s="133">
        <v>32</v>
      </c>
      <c r="I272" s="156"/>
      <c r="J272" s="133"/>
      <c r="K272" s="330"/>
      <c r="L272" s="330"/>
      <c r="M272" s="24"/>
      <c r="N272" s="330">
        <v>7607</v>
      </c>
      <c r="O272" s="368">
        <v>666</v>
      </c>
      <c r="P272" s="368" t="s">
        <v>515</v>
      </c>
      <c r="Q272" s="368">
        <v>846</v>
      </c>
      <c r="R272" s="368" t="s">
        <v>515</v>
      </c>
      <c r="S272" s="368">
        <v>604</v>
      </c>
      <c r="T272" s="368" t="s">
        <v>515</v>
      </c>
      <c r="U272" s="368">
        <v>430</v>
      </c>
      <c r="V272" s="368" t="s">
        <v>515</v>
      </c>
      <c r="W272" s="368">
        <v>535</v>
      </c>
      <c r="X272" s="368" t="s">
        <v>515</v>
      </c>
      <c r="Y272" s="368">
        <v>390</v>
      </c>
      <c r="Z272" s="368" t="s">
        <v>515</v>
      </c>
      <c r="AA272" s="368">
        <v>235</v>
      </c>
      <c r="AB272" s="368" t="s">
        <v>515</v>
      </c>
      <c r="AC272" s="368">
        <v>350</v>
      </c>
      <c r="AD272" s="368" t="s">
        <v>515</v>
      </c>
      <c r="AE272" s="368">
        <v>474</v>
      </c>
      <c r="AF272" s="368" t="s">
        <v>515</v>
      </c>
      <c r="AG272" s="368">
        <v>430</v>
      </c>
      <c r="AH272" s="368" t="s">
        <v>515</v>
      </c>
      <c r="AI272" s="368">
        <v>423</v>
      </c>
      <c r="AJ272" s="368" t="s">
        <v>515</v>
      </c>
      <c r="AK272" s="368">
        <v>463</v>
      </c>
      <c r="AL272" s="368" t="s">
        <v>515</v>
      </c>
      <c r="AM272" s="368">
        <f>SUM(O272:AK272)</f>
        <v>5846</v>
      </c>
    </row>
    <row r="273" spans="1:39" s="90" customFormat="1" ht="18" customHeight="1" x14ac:dyDescent="0.3">
      <c r="A273" s="431">
        <v>132</v>
      </c>
      <c r="B273" s="422" t="s">
        <v>710</v>
      </c>
      <c r="C273" s="11" t="s">
        <v>512</v>
      </c>
      <c r="D273" s="156" t="s">
        <v>516</v>
      </c>
      <c r="E273" s="31" t="s">
        <v>364</v>
      </c>
      <c r="F273" s="23" t="s">
        <v>49</v>
      </c>
      <c r="G273" s="374"/>
      <c r="H273" s="133"/>
      <c r="I273" s="156"/>
      <c r="J273" s="133"/>
      <c r="K273" s="330" t="s">
        <v>218</v>
      </c>
      <c r="L273" s="330" t="s">
        <v>218</v>
      </c>
      <c r="M273" s="24">
        <v>10717</v>
      </c>
      <c r="N273" s="330">
        <v>11671</v>
      </c>
      <c r="O273" s="368">
        <v>1043</v>
      </c>
      <c r="P273" s="368" t="s">
        <v>515</v>
      </c>
      <c r="Q273" s="368">
        <v>923</v>
      </c>
      <c r="R273" s="368" t="s">
        <v>515</v>
      </c>
      <c r="S273" s="368">
        <v>1069</v>
      </c>
      <c r="T273" s="368" t="s">
        <v>515</v>
      </c>
      <c r="U273" s="368">
        <v>1041</v>
      </c>
      <c r="V273" s="368" t="s">
        <v>515</v>
      </c>
      <c r="W273" s="368">
        <v>965</v>
      </c>
      <c r="X273" s="368" t="s">
        <v>515</v>
      </c>
      <c r="Y273" s="368">
        <v>1019</v>
      </c>
      <c r="Z273" s="368" t="s">
        <v>515</v>
      </c>
      <c r="AA273" s="368">
        <v>819</v>
      </c>
      <c r="AB273" s="368" t="s">
        <v>515</v>
      </c>
      <c r="AC273" s="368">
        <v>988</v>
      </c>
      <c r="AD273" s="368" t="s">
        <v>515</v>
      </c>
      <c r="AE273" s="368">
        <v>1049</v>
      </c>
      <c r="AF273" s="368" t="s">
        <v>515</v>
      </c>
      <c r="AG273" s="368">
        <v>1295</v>
      </c>
      <c r="AH273" s="368" t="s">
        <v>515</v>
      </c>
      <c r="AI273" s="368">
        <v>1031</v>
      </c>
      <c r="AJ273" s="368" t="s">
        <v>515</v>
      </c>
      <c r="AK273" s="368">
        <v>1161</v>
      </c>
      <c r="AL273" s="368" t="s">
        <v>515</v>
      </c>
      <c r="AM273" s="368">
        <f>SUM(O273:AK273)</f>
        <v>12403</v>
      </c>
    </row>
    <row r="274" spans="1:39" s="90" customFormat="1" ht="18" customHeight="1" x14ac:dyDescent="0.3">
      <c r="A274" s="432"/>
      <c r="B274" s="423"/>
      <c r="C274" s="12"/>
      <c r="D274" s="156"/>
      <c r="E274" s="31" t="s">
        <v>48</v>
      </c>
      <c r="F274" s="23" t="s">
        <v>49</v>
      </c>
      <c r="G274" s="374" t="s">
        <v>560</v>
      </c>
      <c r="H274" s="133">
        <v>204</v>
      </c>
      <c r="I274" s="156"/>
      <c r="J274" s="133"/>
      <c r="K274" s="330" t="s">
        <v>218</v>
      </c>
      <c r="L274" s="330" t="s">
        <v>218</v>
      </c>
      <c r="M274" s="24">
        <v>18217</v>
      </c>
      <c r="N274" s="330">
        <v>15113</v>
      </c>
      <c r="O274" s="368">
        <v>1569</v>
      </c>
      <c r="P274" s="368" t="s">
        <v>515</v>
      </c>
      <c r="Q274" s="368">
        <v>1292</v>
      </c>
      <c r="R274" s="368" t="s">
        <v>515</v>
      </c>
      <c r="S274" s="368">
        <v>1099</v>
      </c>
      <c r="T274" s="368" t="s">
        <v>515</v>
      </c>
      <c r="U274" s="368">
        <v>817</v>
      </c>
      <c r="V274" s="368" t="s">
        <v>515</v>
      </c>
      <c r="W274" s="368">
        <v>618</v>
      </c>
      <c r="X274" s="368" t="s">
        <v>515</v>
      </c>
      <c r="Y274" s="368">
        <v>584</v>
      </c>
      <c r="Z274" s="368" t="s">
        <v>515</v>
      </c>
      <c r="AA274" s="368">
        <v>520</v>
      </c>
      <c r="AB274" s="368" t="s">
        <v>515</v>
      </c>
      <c r="AC274" s="368">
        <v>766</v>
      </c>
      <c r="AD274" s="368" t="s">
        <v>515</v>
      </c>
      <c r="AE274" s="368">
        <v>707</v>
      </c>
      <c r="AF274" s="368" t="s">
        <v>515</v>
      </c>
      <c r="AG274" s="368">
        <v>1340</v>
      </c>
      <c r="AH274" s="368" t="s">
        <v>515</v>
      </c>
      <c r="AI274" s="368">
        <v>1152</v>
      </c>
      <c r="AJ274" s="368" t="s">
        <v>515</v>
      </c>
      <c r="AK274" s="368">
        <v>1370</v>
      </c>
      <c r="AL274" s="368" t="s">
        <v>515</v>
      </c>
      <c r="AM274" s="368">
        <f>SUM(O274:AK274)</f>
        <v>11834</v>
      </c>
    </row>
    <row r="275" spans="1:39" s="90" customFormat="1" ht="18" customHeight="1" x14ac:dyDescent="0.3">
      <c r="A275" s="431">
        <v>133</v>
      </c>
      <c r="B275" s="422" t="s">
        <v>711</v>
      </c>
      <c r="C275" s="11" t="s">
        <v>512</v>
      </c>
      <c r="D275" s="156" t="s">
        <v>516</v>
      </c>
      <c r="E275" s="31" t="s">
        <v>364</v>
      </c>
      <c r="F275" s="23" t="s">
        <v>49</v>
      </c>
      <c r="G275" s="374"/>
      <c r="H275" s="133"/>
      <c r="I275" s="156"/>
      <c r="J275" s="133"/>
      <c r="K275" s="330"/>
      <c r="L275" s="330"/>
      <c r="M275" s="24"/>
      <c r="N275" s="330"/>
      <c r="O275" s="368"/>
      <c r="P275" s="368"/>
      <c r="Q275" s="368"/>
      <c r="R275" s="368"/>
      <c r="S275" s="368"/>
      <c r="T275" s="368"/>
      <c r="U275" s="368"/>
      <c r="V275" s="368"/>
      <c r="W275" s="368"/>
      <c r="X275" s="368"/>
      <c r="Y275" s="368"/>
      <c r="Z275" s="368"/>
      <c r="AA275" s="368"/>
      <c r="AB275" s="368"/>
      <c r="AC275" s="368"/>
      <c r="AD275" s="368"/>
      <c r="AE275" s="368"/>
      <c r="AF275" s="368"/>
      <c r="AG275" s="368"/>
      <c r="AH275" s="368"/>
      <c r="AI275" s="368"/>
      <c r="AJ275" s="368"/>
      <c r="AK275" s="368"/>
      <c r="AL275" s="368"/>
      <c r="AM275" s="368"/>
    </row>
    <row r="276" spans="1:39" s="90" customFormat="1" ht="18" customHeight="1" x14ac:dyDescent="0.3">
      <c r="A276" s="432"/>
      <c r="B276" s="423"/>
      <c r="C276" s="12"/>
      <c r="D276" s="156"/>
      <c r="E276" s="31" t="s">
        <v>48</v>
      </c>
      <c r="F276" s="23" t="s">
        <v>49</v>
      </c>
      <c r="G276" s="374" t="s">
        <v>518</v>
      </c>
      <c r="H276" s="133">
        <v>47</v>
      </c>
      <c r="I276" s="156"/>
      <c r="J276" s="133"/>
      <c r="K276" s="330" t="s">
        <v>218</v>
      </c>
      <c r="L276" s="330" t="s">
        <v>218</v>
      </c>
      <c r="M276" s="24">
        <v>5850</v>
      </c>
      <c r="N276" s="330">
        <v>6397</v>
      </c>
      <c r="O276" s="368">
        <v>649</v>
      </c>
      <c r="P276" s="368" t="s">
        <v>515</v>
      </c>
      <c r="Q276" s="368">
        <v>563</v>
      </c>
      <c r="R276" s="368" t="s">
        <v>515</v>
      </c>
      <c r="S276" s="368">
        <v>489</v>
      </c>
      <c r="T276" s="368" t="s">
        <v>515</v>
      </c>
      <c r="U276" s="368">
        <v>404</v>
      </c>
      <c r="V276" s="368" t="s">
        <v>515</v>
      </c>
      <c r="W276" s="368">
        <v>280</v>
      </c>
      <c r="X276" s="368" t="s">
        <v>515</v>
      </c>
      <c r="Y276" s="368">
        <v>256</v>
      </c>
      <c r="Z276" s="368" t="s">
        <v>515</v>
      </c>
      <c r="AA276" s="368">
        <v>286</v>
      </c>
      <c r="AB276" s="368" t="s">
        <v>515</v>
      </c>
      <c r="AC276" s="368">
        <v>248</v>
      </c>
      <c r="AD276" s="368" t="s">
        <v>515</v>
      </c>
      <c r="AE276" s="368">
        <v>430</v>
      </c>
      <c r="AF276" s="368" t="s">
        <v>515</v>
      </c>
      <c r="AG276" s="368">
        <v>510</v>
      </c>
      <c r="AH276" s="368" t="s">
        <v>515</v>
      </c>
      <c r="AI276" s="368">
        <v>529</v>
      </c>
      <c r="AJ276" s="368" t="s">
        <v>515</v>
      </c>
      <c r="AK276" s="368">
        <v>616</v>
      </c>
      <c r="AL276" s="368" t="s">
        <v>515</v>
      </c>
      <c r="AM276" s="368">
        <f t="shared" ref="AM276:AM282" si="7">SUM(O276:AK276)</f>
        <v>5260</v>
      </c>
    </row>
    <row r="277" spans="1:39" s="90" customFormat="1" ht="18" customHeight="1" x14ac:dyDescent="0.3">
      <c r="A277" s="431">
        <v>134</v>
      </c>
      <c r="B277" s="422" t="s">
        <v>712</v>
      </c>
      <c r="C277" s="11" t="s">
        <v>512</v>
      </c>
      <c r="D277" s="156" t="s">
        <v>561</v>
      </c>
      <c r="E277" s="31" t="s">
        <v>364</v>
      </c>
      <c r="F277" s="23" t="s">
        <v>49</v>
      </c>
      <c r="G277" s="374"/>
      <c r="H277" s="133"/>
      <c r="I277" s="156"/>
      <c r="J277" s="133"/>
      <c r="K277" s="330" t="s">
        <v>218</v>
      </c>
      <c r="L277" s="330" t="s">
        <v>218</v>
      </c>
      <c r="M277" s="24">
        <v>1661</v>
      </c>
      <c r="N277" s="330">
        <v>2457</v>
      </c>
      <c r="O277" s="368">
        <v>239</v>
      </c>
      <c r="P277" s="368" t="s">
        <v>515</v>
      </c>
      <c r="Q277" s="368">
        <v>221</v>
      </c>
      <c r="R277" s="368" t="s">
        <v>515</v>
      </c>
      <c r="S277" s="368">
        <v>182</v>
      </c>
      <c r="T277" s="368" t="s">
        <v>515</v>
      </c>
      <c r="U277" s="368">
        <v>186</v>
      </c>
      <c r="V277" s="368" t="s">
        <v>515</v>
      </c>
      <c r="W277" s="368">
        <v>201</v>
      </c>
      <c r="X277" s="368" t="s">
        <v>515</v>
      </c>
      <c r="Y277" s="368">
        <v>183</v>
      </c>
      <c r="Z277" s="368" t="s">
        <v>515</v>
      </c>
      <c r="AA277" s="368">
        <v>209</v>
      </c>
      <c r="AB277" s="368" t="s">
        <v>515</v>
      </c>
      <c r="AC277" s="368">
        <v>194</v>
      </c>
      <c r="AD277" s="368" t="s">
        <v>515</v>
      </c>
      <c r="AE277" s="368">
        <v>202</v>
      </c>
      <c r="AF277" s="368" t="s">
        <v>515</v>
      </c>
      <c r="AG277" s="368">
        <v>184</v>
      </c>
      <c r="AH277" s="368" t="s">
        <v>515</v>
      </c>
      <c r="AI277" s="368">
        <v>178</v>
      </c>
      <c r="AJ277" s="368" t="s">
        <v>515</v>
      </c>
      <c r="AK277" s="368">
        <v>195</v>
      </c>
      <c r="AL277" s="368" t="s">
        <v>515</v>
      </c>
      <c r="AM277" s="368">
        <f t="shared" si="7"/>
        <v>2374</v>
      </c>
    </row>
    <row r="278" spans="1:39" s="90" customFormat="1" ht="18" customHeight="1" x14ac:dyDescent="0.3">
      <c r="A278" s="432"/>
      <c r="B278" s="423"/>
      <c r="C278" s="12"/>
      <c r="D278" s="156"/>
      <c r="E278" s="31" t="s">
        <v>48</v>
      </c>
      <c r="F278" s="23" t="s">
        <v>49</v>
      </c>
      <c r="G278" s="374" t="s">
        <v>519</v>
      </c>
      <c r="H278" s="133">
        <v>32</v>
      </c>
      <c r="I278" s="156"/>
      <c r="J278" s="133"/>
      <c r="K278" s="330" t="s">
        <v>218</v>
      </c>
      <c r="L278" s="330" t="s">
        <v>218</v>
      </c>
      <c r="M278" s="24">
        <v>3453</v>
      </c>
      <c r="N278" s="330">
        <v>3857</v>
      </c>
      <c r="O278" s="368">
        <v>392</v>
      </c>
      <c r="P278" s="368" t="s">
        <v>515</v>
      </c>
      <c r="Q278" s="368">
        <v>291</v>
      </c>
      <c r="R278" s="368" t="s">
        <v>515</v>
      </c>
      <c r="S278" s="368">
        <v>241</v>
      </c>
      <c r="T278" s="368" t="s">
        <v>515</v>
      </c>
      <c r="U278" s="368">
        <v>257</v>
      </c>
      <c r="V278" s="368" t="s">
        <v>515</v>
      </c>
      <c r="W278" s="368">
        <v>245</v>
      </c>
      <c r="X278" s="368" t="s">
        <v>515</v>
      </c>
      <c r="Y278" s="368">
        <v>224</v>
      </c>
      <c r="Z278" s="368" t="s">
        <v>515</v>
      </c>
      <c r="AA278" s="368">
        <v>254</v>
      </c>
      <c r="AB278" s="368" t="s">
        <v>515</v>
      </c>
      <c r="AC278" s="368">
        <v>246</v>
      </c>
      <c r="AD278" s="368" t="s">
        <v>515</v>
      </c>
      <c r="AE278" s="368">
        <v>249</v>
      </c>
      <c r="AF278" s="368" t="s">
        <v>515</v>
      </c>
      <c r="AG278" s="368">
        <v>236</v>
      </c>
      <c r="AH278" s="368" t="s">
        <v>515</v>
      </c>
      <c r="AI278" s="368">
        <v>251</v>
      </c>
      <c r="AJ278" s="368" t="s">
        <v>515</v>
      </c>
      <c r="AK278" s="368">
        <v>281</v>
      </c>
      <c r="AL278" s="368" t="s">
        <v>515</v>
      </c>
      <c r="AM278" s="368">
        <f t="shared" si="7"/>
        <v>3167</v>
      </c>
    </row>
    <row r="279" spans="1:39" s="90" customFormat="1" ht="18" customHeight="1" x14ac:dyDescent="0.3">
      <c r="A279" s="431">
        <v>135</v>
      </c>
      <c r="B279" s="422" t="s">
        <v>713</v>
      </c>
      <c r="C279" s="11" t="s">
        <v>512</v>
      </c>
      <c r="D279" s="156" t="s">
        <v>516</v>
      </c>
      <c r="E279" s="31" t="s">
        <v>364</v>
      </c>
      <c r="F279" s="23" t="s">
        <v>49</v>
      </c>
      <c r="G279" s="374"/>
      <c r="H279" s="133"/>
      <c r="I279" s="156"/>
      <c r="J279" s="133"/>
      <c r="K279" s="330" t="s">
        <v>218</v>
      </c>
      <c r="L279" s="330" t="s">
        <v>218</v>
      </c>
      <c r="M279" s="24">
        <v>2091</v>
      </c>
      <c r="N279" s="330">
        <v>3196</v>
      </c>
      <c r="O279" s="368">
        <v>296</v>
      </c>
      <c r="P279" s="368" t="s">
        <v>515</v>
      </c>
      <c r="Q279" s="368">
        <v>221</v>
      </c>
      <c r="R279" s="368" t="s">
        <v>515</v>
      </c>
      <c r="S279" s="368">
        <v>222</v>
      </c>
      <c r="T279" s="368" t="s">
        <v>515</v>
      </c>
      <c r="U279" s="368">
        <v>244</v>
      </c>
      <c r="V279" s="368" t="s">
        <v>515</v>
      </c>
      <c r="W279" s="368">
        <v>222</v>
      </c>
      <c r="X279" s="368" t="s">
        <v>515</v>
      </c>
      <c r="Y279" s="368">
        <v>208</v>
      </c>
      <c r="Z279" s="368" t="s">
        <v>515</v>
      </c>
      <c r="AA279" s="368">
        <v>338</v>
      </c>
      <c r="AB279" s="368" t="s">
        <v>515</v>
      </c>
      <c r="AC279" s="368">
        <v>278</v>
      </c>
      <c r="AD279" s="368" t="s">
        <v>515</v>
      </c>
      <c r="AE279" s="368">
        <v>235</v>
      </c>
      <c r="AF279" s="368" t="s">
        <v>515</v>
      </c>
      <c r="AG279" s="368">
        <v>279</v>
      </c>
      <c r="AH279" s="368" t="s">
        <v>515</v>
      </c>
      <c r="AI279" s="368">
        <v>379</v>
      </c>
      <c r="AJ279" s="368" t="s">
        <v>515</v>
      </c>
      <c r="AK279" s="368">
        <v>364</v>
      </c>
      <c r="AL279" s="368" t="s">
        <v>515</v>
      </c>
      <c r="AM279" s="368">
        <f t="shared" si="7"/>
        <v>3286</v>
      </c>
    </row>
    <row r="280" spans="1:39" s="90" customFormat="1" ht="18" customHeight="1" x14ac:dyDescent="0.3">
      <c r="A280" s="432"/>
      <c r="B280" s="423"/>
      <c r="C280" s="12"/>
      <c r="D280" s="156"/>
      <c r="E280" s="31" t="s">
        <v>48</v>
      </c>
      <c r="F280" s="23" t="s">
        <v>49</v>
      </c>
      <c r="G280" s="374" t="s">
        <v>518</v>
      </c>
      <c r="H280" s="133">
        <v>33</v>
      </c>
      <c r="I280" s="156"/>
      <c r="J280" s="133"/>
      <c r="K280" s="330" t="s">
        <v>218</v>
      </c>
      <c r="L280" s="330" t="s">
        <v>218</v>
      </c>
      <c r="M280" s="24">
        <v>7148</v>
      </c>
      <c r="N280" s="330">
        <v>7784</v>
      </c>
      <c r="O280" s="368">
        <v>812</v>
      </c>
      <c r="P280" s="368" t="s">
        <v>515</v>
      </c>
      <c r="Q280" s="368">
        <v>757</v>
      </c>
      <c r="R280" s="368" t="s">
        <v>515</v>
      </c>
      <c r="S280" s="368">
        <v>645</v>
      </c>
      <c r="T280" s="368" t="s">
        <v>515</v>
      </c>
      <c r="U280" s="368">
        <v>608</v>
      </c>
      <c r="V280" s="368" t="s">
        <v>515</v>
      </c>
      <c r="W280" s="368">
        <v>588</v>
      </c>
      <c r="X280" s="368" t="s">
        <v>515</v>
      </c>
      <c r="Y280" s="368">
        <v>549</v>
      </c>
      <c r="Z280" s="368" t="s">
        <v>515</v>
      </c>
      <c r="AA280" s="368">
        <v>582</v>
      </c>
      <c r="AB280" s="368" t="s">
        <v>515</v>
      </c>
      <c r="AC280" s="368">
        <v>549</v>
      </c>
      <c r="AD280" s="368" t="s">
        <v>515</v>
      </c>
      <c r="AE280" s="368">
        <v>594</v>
      </c>
      <c r="AF280" s="368" t="s">
        <v>515</v>
      </c>
      <c r="AG280" s="368">
        <v>561</v>
      </c>
      <c r="AH280" s="368" t="s">
        <v>515</v>
      </c>
      <c r="AI280" s="368">
        <v>636</v>
      </c>
      <c r="AJ280" s="368" t="s">
        <v>515</v>
      </c>
      <c r="AK280" s="368">
        <v>674</v>
      </c>
      <c r="AL280" s="368" t="s">
        <v>515</v>
      </c>
      <c r="AM280" s="368">
        <f t="shared" si="7"/>
        <v>7555</v>
      </c>
    </row>
    <row r="281" spans="1:39" s="90" customFormat="1" ht="18" customHeight="1" x14ac:dyDescent="0.3">
      <c r="A281" s="431">
        <v>136</v>
      </c>
      <c r="B281" s="422" t="s">
        <v>714</v>
      </c>
      <c r="C281" s="11" t="s">
        <v>512</v>
      </c>
      <c r="D281" s="156" t="s">
        <v>562</v>
      </c>
      <c r="E281" s="31" t="s">
        <v>364</v>
      </c>
      <c r="F281" s="23" t="s">
        <v>49</v>
      </c>
      <c r="G281" s="374"/>
      <c r="H281" s="133"/>
      <c r="I281" s="156"/>
      <c r="J281" s="133"/>
      <c r="K281" s="330" t="s">
        <v>218</v>
      </c>
      <c r="L281" s="330" t="s">
        <v>218</v>
      </c>
      <c r="M281" s="24">
        <v>15750</v>
      </c>
      <c r="N281" s="330">
        <v>11517</v>
      </c>
      <c r="O281" s="368">
        <v>944</v>
      </c>
      <c r="P281" s="368" t="s">
        <v>515</v>
      </c>
      <c r="Q281" s="368">
        <v>1115</v>
      </c>
      <c r="R281" s="368" t="s">
        <v>515</v>
      </c>
      <c r="S281" s="368">
        <v>951</v>
      </c>
      <c r="T281" s="368" t="s">
        <v>515</v>
      </c>
      <c r="U281" s="368">
        <v>1074</v>
      </c>
      <c r="V281" s="368" t="s">
        <v>515</v>
      </c>
      <c r="W281" s="368">
        <v>918</v>
      </c>
      <c r="X281" s="368" t="s">
        <v>515</v>
      </c>
      <c r="Y281" s="368">
        <v>940</v>
      </c>
      <c r="Z281" s="368" t="s">
        <v>515</v>
      </c>
      <c r="AA281" s="368">
        <v>1018</v>
      </c>
      <c r="AB281" s="368" t="s">
        <v>515</v>
      </c>
      <c r="AC281" s="368">
        <v>921</v>
      </c>
      <c r="AD281" s="368" t="s">
        <v>515</v>
      </c>
      <c r="AE281" s="368">
        <v>978</v>
      </c>
      <c r="AF281" s="368" t="s">
        <v>515</v>
      </c>
      <c r="AG281" s="368">
        <v>995</v>
      </c>
      <c r="AH281" s="368" t="s">
        <v>515</v>
      </c>
      <c r="AI281" s="368">
        <v>821</v>
      </c>
      <c r="AJ281" s="368" t="s">
        <v>515</v>
      </c>
      <c r="AK281" s="368">
        <v>971</v>
      </c>
      <c r="AL281" s="368" t="s">
        <v>515</v>
      </c>
      <c r="AM281" s="368">
        <f t="shared" si="7"/>
        <v>11646</v>
      </c>
    </row>
    <row r="282" spans="1:39" s="90" customFormat="1" ht="18" customHeight="1" x14ac:dyDescent="0.3">
      <c r="A282" s="432"/>
      <c r="B282" s="423"/>
      <c r="C282" s="12"/>
      <c r="D282" s="156"/>
      <c r="E282" s="31" t="s">
        <v>48</v>
      </c>
      <c r="F282" s="23" t="s">
        <v>49</v>
      </c>
      <c r="G282" s="374" t="s">
        <v>514</v>
      </c>
      <c r="H282" s="133">
        <v>210</v>
      </c>
      <c r="I282" s="156"/>
      <c r="J282" s="133"/>
      <c r="K282" s="330" t="s">
        <v>218</v>
      </c>
      <c r="L282" s="330" t="s">
        <v>218</v>
      </c>
      <c r="M282" s="24">
        <v>20438</v>
      </c>
      <c r="N282" s="330">
        <v>21476</v>
      </c>
      <c r="O282" s="368">
        <v>2164</v>
      </c>
      <c r="P282" s="368" t="s">
        <v>515</v>
      </c>
      <c r="Q282" s="368">
        <v>1396</v>
      </c>
      <c r="R282" s="368" t="s">
        <v>515</v>
      </c>
      <c r="S282" s="368">
        <v>1128</v>
      </c>
      <c r="T282" s="368" t="s">
        <v>515</v>
      </c>
      <c r="U282" s="368">
        <v>1211</v>
      </c>
      <c r="V282" s="368" t="s">
        <v>515</v>
      </c>
      <c r="W282" s="368">
        <v>875</v>
      </c>
      <c r="X282" s="368" t="s">
        <v>515</v>
      </c>
      <c r="Y282" s="368">
        <v>621</v>
      </c>
      <c r="Z282" s="368" t="s">
        <v>515</v>
      </c>
      <c r="AA282" s="368">
        <v>527</v>
      </c>
      <c r="AB282" s="368" t="s">
        <v>515</v>
      </c>
      <c r="AC282" s="368">
        <v>643</v>
      </c>
      <c r="AD282" s="368" t="s">
        <v>515</v>
      </c>
      <c r="AE282" s="368">
        <v>782</v>
      </c>
      <c r="AF282" s="368" t="s">
        <v>515</v>
      </c>
      <c r="AG282" s="368">
        <v>1037</v>
      </c>
      <c r="AH282" s="368" t="s">
        <v>515</v>
      </c>
      <c r="AI282" s="368">
        <v>993</v>
      </c>
      <c r="AJ282" s="368" t="s">
        <v>515</v>
      </c>
      <c r="AK282" s="368">
        <v>1180</v>
      </c>
      <c r="AL282" s="368" t="s">
        <v>515</v>
      </c>
      <c r="AM282" s="368">
        <f t="shared" si="7"/>
        <v>12557</v>
      </c>
    </row>
    <row r="283" spans="1:39" s="90" customFormat="1" ht="18" customHeight="1" x14ac:dyDescent="0.3">
      <c r="A283" s="431">
        <v>137</v>
      </c>
      <c r="B283" s="422" t="s">
        <v>715</v>
      </c>
      <c r="C283" s="11" t="s">
        <v>512</v>
      </c>
      <c r="D283" s="156" t="s">
        <v>516</v>
      </c>
      <c r="E283" s="31" t="s">
        <v>364</v>
      </c>
      <c r="F283" s="23" t="s">
        <v>49</v>
      </c>
      <c r="G283" s="374"/>
      <c r="H283" s="133"/>
      <c r="I283" s="156"/>
      <c r="J283" s="133"/>
      <c r="K283" s="330"/>
      <c r="L283" s="330"/>
      <c r="M283" s="24"/>
      <c r="N283" s="330"/>
      <c r="O283" s="368"/>
      <c r="P283" s="368"/>
      <c r="Q283" s="368"/>
      <c r="R283" s="368"/>
      <c r="S283" s="368"/>
      <c r="T283" s="368"/>
      <c r="U283" s="368"/>
      <c r="V283" s="368"/>
      <c r="W283" s="368"/>
      <c r="X283" s="368"/>
      <c r="Y283" s="368"/>
      <c r="Z283" s="368"/>
      <c r="AA283" s="368"/>
      <c r="AB283" s="368"/>
      <c r="AC283" s="368"/>
      <c r="AD283" s="368"/>
      <c r="AE283" s="368"/>
      <c r="AF283" s="368"/>
      <c r="AG283" s="368"/>
      <c r="AH283" s="368"/>
      <c r="AI283" s="368"/>
      <c r="AJ283" s="368"/>
      <c r="AK283" s="368"/>
      <c r="AL283" s="368"/>
      <c r="AM283" s="368"/>
    </row>
    <row r="284" spans="1:39" s="90" customFormat="1" ht="18" customHeight="1" x14ac:dyDescent="0.3">
      <c r="A284" s="432"/>
      <c r="B284" s="423"/>
      <c r="C284" s="12"/>
      <c r="D284" s="156"/>
      <c r="E284" s="31" t="s">
        <v>48</v>
      </c>
      <c r="F284" s="23" t="s">
        <v>49</v>
      </c>
      <c r="G284" s="374" t="s">
        <v>518</v>
      </c>
      <c r="H284" s="133">
        <v>77</v>
      </c>
      <c r="I284" s="156"/>
      <c r="J284" s="133"/>
      <c r="K284" s="330" t="s">
        <v>218</v>
      </c>
      <c r="L284" s="330" t="s">
        <v>218</v>
      </c>
      <c r="M284" s="24">
        <v>8929</v>
      </c>
      <c r="N284" s="330">
        <v>7494</v>
      </c>
      <c r="O284" s="368">
        <v>894</v>
      </c>
      <c r="P284" s="368" t="s">
        <v>515</v>
      </c>
      <c r="Q284" s="368">
        <v>714</v>
      </c>
      <c r="R284" s="368" t="s">
        <v>515</v>
      </c>
      <c r="S284" s="368">
        <v>551</v>
      </c>
      <c r="T284" s="368" t="s">
        <v>515</v>
      </c>
      <c r="U284" s="368">
        <v>428</v>
      </c>
      <c r="V284" s="368" t="s">
        <v>515</v>
      </c>
      <c r="W284" s="368">
        <v>355</v>
      </c>
      <c r="X284" s="368" t="s">
        <v>515</v>
      </c>
      <c r="Y284" s="368">
        <v>319</v>
      </c>
      <c r="Z284" s="368" t="s">
        <v>515</v>
      </c>
      <c r="AA284" s="368">
        <v>182</v>
      </c>
      <c r="AB284" s="368" t="s">
        <v>515</v>
      </c>
      <c r="AC284" s="368">
        <v>225</v>
      </c>
      <c r="AD284" s="368" t="s">
        <v>515</v>
      </c>
      <c r="AE284" s="368">
        <v>422</v>
      </c>
      <c r="AF284" s="368" t="s">
        <v>515</v>
      </c>
      <c r="AG284" s="368">
        <v>657</v>
      </c>
      <c r="AH284" s="368" t="s">
        <v>515</v>
      </c>
      <c r="AI284" s="368">
        <v>614</v>
      </c>
      <c r="AJ284" s="368" t="s">
        <v>515</v>
      </c>
      <c r="AK284" s="368">
        <v>741</v>
      </c>
      <c r="AL284" s="368" t="s">
        <v>515</v>
      </c>
      <c r="AM284" s="368">
        <f>SUM(O284:AK284)</f>
        <v>6102</v>
      </c>
    </row>
    <row r="285" spans="1:39" s="90" customFormat="1" ht="18" customHeight="1" x14ac:dyDescent="0.3">
      <c r="A285" s="431">
        <v>138</v>
      </c>
      <c r="B285" s="422" t="s">
        <v>716</v>
      </c>
      <c r="C285" s="11" t="s">
        <v>512</v>
      </c>
      <c r="D285" s="156" t="s">
        <v>516</v>
      </c>
      <c r="E285" s="31" t="s">
        <v>364</v>
      </c>
      <c r="F285" s="23" t="s">
        <v>49</v>
      </c>
      <c r="G285" s="374"/>
      <c r="H285" s="133"/>
      <c r="I285" s="156"/>
      <c r="J285" s="133"/>
      <c r="K285" s="330"/>
      <c r="L285" s="330"/>
      <c r="M285" s="24"/>
      <c r="N285" s="330"/>
      <c r="O285" s="368"/>
      <c r="P285" s="368"/>
      <c r="Q285" s="368"/>
      <c r="R285" s="368"/>
      <c r="S285" s="368"/>
      <c r="T285" s="368"/>
      <c r="U285" s="368"/>
      <c r="V285" s="368"/>
      <c r="W285" s="368"/>
      <c r="X285" s="368"/>
      <c r="Y285" s="368"/>
      <c r="Z285" s="368"/>
      <c r="AA285" s="368"/>
      <c r="AB285" s="368"/>
      <c r="AC285" s="368"/>
      <c r="AD285" s="368"/>
      <c r="AE285" s="368"/>
      <c r="AF285" s="368"/>
      <c r="AG285" s="368"/>
      <c r="AH285" s="368"/>
      <c r="AI285" s="368"/>
      <c r="AJ285" s="368"/>
      <c r="AK285" s="368"/>
      <c r="AL285" s="368"/>
      <c r="AM285" s="368"/>
    </row>
    <row r="286" spans="1:39" s="90" customFormat="1" ht="18" customHeight="1" x14ac:dyDescent="0.3">
      <c r="A286" s="432"/>
      <c r="B286" s="423"/>
      <c r="C286" s="12"/>
      <c r="D286" s="156"/>
      <c r="E286" s="31" t="s">
        <v>48</v>
      </c>
      <c r="F286" s="23" t="s">
        <v>49</v>
      </c>
      <c r="G286" s="374" t="s">
        <v>518</v>
      </c>
      <c r="H286" s="133">
        <v>77</v>
      </c>
      <c r="I286" s="156"/>
      <c r="J286" s="133"/>
      <c r="K286" s="330" t="s">
        <v>218</v>
      </c>
      <c r="L286" s="330" t="s">
        <v>218</v>
      </c>
      <c r="M286" s="24">
        <v>9153</v>
      </c>
      <c r="N286" s="330">
        <v>11211</v>
      </c>
      <c r="O286" s="368">
        <v>1440</v>
      </c>
      <c r="P286" s="368" t="s">
        <v>515</v>
      </c>
      <c r="Q286" s="368">
        <v>905</v>
      </c>
      <c r="R286" s="368" t="s">
        <v>515</v>
      </c>
      <c r="S286" s="368">
        <v>728</v>
      </c>
      <c r="T286" s="368" t="s">
        <v>515</v>
      </c>
      <c r="U286" s="368">
        <v>707</v>
      </c>
      <c r="V286" s="368" t="s">
        <v>515</v>
      </c>
      <c r="W286" s="368">
        <v>605</v>
      </c>
      <c r="X286" s="368" t="s">
        <v>515</v>
      </c>
      <c r="Y286" s="368">
        <v>481</v>
      </c>
      <c r="Z286" s="368" t="s">
        <v>515</v>
      </c>
      <c r="AA286" s="368">
        <v>539</v>
      </c>
      <c r="AB286" s="368" t="s">
        <v>515</v>
      </c>
      <c r="AC286" s="368">
        <v>529</v>
      </c>
      <c r="AD286" s="368" t="s">
        <v>515</v>
      </c>
      <c r="AE286" s="368">
        <v>683</v>
      </c>
      <c r="AF286" s="368" t="s">
        <v>515</v>
      </c>
      <c r="AG286" s="368">
        <v>790</v>
      </c>
      <c r="AH286" s="368" t="s">
        <v>515</v>
      </c>
      <c r="AI286" s="368">
        <v>948</v>
      </c>
      <c r="AJ286" s="368" t="s">
        <v>515</v>
      </c>
      <c r="AK286" s="368">
        <v>1227</v>
      </c>
      <c r="AL286" s="368" t="s">
        <v>515</v>
      </c>
      <c r="AM286" s="368">
        <f>SUM(O286:AK286)</f>
        <v>9582</v>
      </c>
    </row>
    <row r="287" spans="1:39" s="90" customFormat="1" ht="18" customHeight="1" x14ac:dyDescent="0.3">
      <c r="A287" s="431">
        <v>139</v>
      </c>
      <c r="B287" s="422" t="s">
        <v>717</v>
      </c>
      <c r="C287" s="11" t="s">
        <v>512</v>
      </c>
      <c r="D287" s="156" t="s">
        <v>563</v>
      </c>
      <c r="E287" s="31" t="s">
        <v>364</v>
      </c>
      <c r="F287" s="23" t="s">
        <v>49</v>
      </c>
      <c r="G287" s="374"/>
      <c r="H287" s="133"/>
      <c r="I287" s="156"/>
      <c r="J287" s="133"/>
      <c r="K287" s="330" t="s">
        <v>218</v>
      </c>
      <c r="L287" s="330" t="s">
        <v>218</v>
      </c>
      <c r="M287" s="24">
        <v>20345</v>
      </c>
      <c r="N287" s="330">
        <v>15138</v>
      </c>
      <c r="O287" s="368">
        <v>1312</v>
      </c>
      <c r="P287" s="368" t="s">
        <v>515</v>
      </c>
      <c r="Q287" s="368">
        <v>1403</v>
      </c>
      <c r="R287" s="368" t="s">
        <v>515</v>
      </c>
      <c r="S287" s="368">
        <v>1236</v>
      </c>
      <c r="T287" s="368" t="s">
        <v>515</v>
      </c>
      <c r="U287" s="368">
        <v>1228</v>
      </c>
      <c r="V287" s="368" t="s">
        <v>515</v>
      </c>
      <c r="W287" s="368">
        <v>1307</v>
      </c>
      <c r="X287" s="368" t="s">
        <v>515</v>
      </c>
      <c r="Y287" s="368">
        <v>1184</v>
      </c>
      <c r="Z287" s="368" t="s">
        <v>515</v>
      </c>
      <c r="AA287" s="368">
        <v>1230</v>
      </c>
      <c r="AB287" s="368" t="s">
        <v>515</v>
      </c>
      <c r="AC287" s="368">
        <v>1108</v>
      </c>
      <c r="AD287" s="368" t="s">
        <v>515</v>
      </c>
      <c r="AE287" s="368">
        <v>1458</v>
      </c>
      <c r="AF287" s="368" t="s">
        <v>515</v>
      </c>
      <c r="AG287" s="368">
        <v>1353</v>
      </c>
      <c r="AH287" s="368" t="s">
        <v>515</v>
      </c>
      <c r="AI287" s="368">
        <v>1357</v>
      </c>
      <c r="AJ287" s="368" t="s">
        <v>515</v>
      </c>
      <c r="AK287" s="368">
        <v>1459</v>
      </c>
      <c r="AL287" s="368" t="s">
        <v>515</v>
      </c>
      <c r="AM287" s="368">
        <f>SUM(O287:AK287)</f>
        <v>15635</v>
      </c>
    </row>
    <row r="288" spans="1:39" s="90" customFormat="1" ht="18" customHeight="1" x14ac:dyDescent="0.3">
      <c r="A288" s="432"/>
      <c r="B288" s="423"/>
      <c r="C288" s="12"/>
      <c r="D288" s="156"/>
      <c r="E288" s="31" t="s">
        <v>48</v>
      </c>
      <c r="F288" s="23" t="s">
        <v>49</v>
      </c>
      <c r="G288" s="374" t="s">
        <v>564</v>
      </c>
      <c r="H288" s="133">
        <v>220</v>
      </c>
      <c r="I288" s="156"/>
      <c r="J288" s="133"/>
      <c r="K288" s="330" t="s">
        <v>218</v>
      </c>
      <c r="L288" s="330" t="s">
        <v>218</v>
      </c>
      <c r="M288" s="24">
        <v>18098</v>
      </c>
      <c r="N288" s="330">
        <v>18426</v>
      </c>
      <c r="O288" s="368">
        <v>1946</v>
      </c>
      <c r="P288" s="368" t="s">
        <v>515</v>
      </c>
      <c r="Q288" s="368">
        <v>1809</v>
      </c>
      <c r="R288" s="368" t="s">
        <v>515</v>
      </c>
      <c r="S288" s="368">
        <v>1468</v>
      </c>
      <c r="T288" s="368" t="s">
        <v>515</v>
      </c>
      <c r="U288" s="368">
        <v>1343</v>
      </c>
      <c r="V288" s="368" t="s">
        <v>515</v>
      </c>
      <c r="W288" s="368">
        <v>1279</v>
      </c>
      <c r="X288" s="368" t="s">
        <v>515</v>
      </c>
      <c r="Y288" s="368">
        <v>1143</v>
      </c>
      <c r="Z288" s="368" t="s">
        <v>515</v>
      </c>
      <c r="AA288" s="368">
        <v>1012</v>
      </c>
      <c r="AB288" s="368" t="s">
        <v>515</v>
      </c>
      <c r="AC288" s="368">
        <v>980</v>
      </c>
      <c r="AD288" s="368" t="s">
        <v>515</v>
      </c>
      <c r="AE288" s="368">
        <v>1283</v>
      </c>
      <c r="AF288" s="368" t="s">
        <v>515</v>
      </c>
      <c r="AG288" s="368">
        <v>1708</v>
      </c>
      <c r="AH288" s="368" t="s">
        <v>515</v>
      </c>
      <c r="AI288" s="368">
        <v>2034</v>
      </c>
      <c r="AJ288" s="368" t="s">
        <v>515</v>
      </c>
      <c r="AK288" s="368">
        <v>2558</v>
      </c>
      <c r="AL288" s="368" t="s">
        <v>515</v>
      </c>
      <c r="AM288" s="368">
        <f>SUM(O288:AK288)</f>
        <v>18563</v>
      </c>
    </row>
    <row r="289" spans="1:39" s="90" customFormat="1" ht="18" customHeight="1" x14ac:dyDescent="0.3">
      <c r="A289" s="431">
        <v>140</v>
      </c>
      <c r="B289" s="422" t="s">
        <v>718</v>
      </c>
      <c r="C289" s="11" t="s">
        <v>512</v>
      </c>
      <c r="D289" s="156" t="s">
        <v>516</v>
      </c>
      <c r="E289" s="31" t="s">
        <v>364</v>
      </c>
      <c r="F289" s="23" t="s">
        <v>49</v>
      </c>
      <c r="G289" s="374"/>
      <c r="H289" s="133"/>
      <c r="I289" s="156"/>
      <c r="J289" s="133"/>
      <c r="K289" s="330"/>
      <c r="L289" s="330"/>
      <c r="M289" s="24"/>
      <c r="N289" s="330"/>
      <c r="O289" s="368"/>
      <c r="P289" s="368"/>
      <c r="Q289" s="368"/>
      <c r="R289" s="368"/>
      <c r="S289" s="368"/>
      <c r="T289" s="368"/>
      <c r="U289" s="368"/>
      <c r="V289" s="368"/>
      <c r="W289" s="368"/>
      <c r="X289" s="368"/>
      <c r="Y289" s="368"/>
      <c r="Z289" s="368"/>
      <c r="AA289" s="368"/>
      <c r="AB289" s="368"/>
      <c r="AC289" s="368"/>
      <c r="AD289" s="368"/>
      <c r="AE289" s="368"/>
      <c r="AF289" s="368"/>
      <c r="AG289" s="368"/>
      <c r="AH289" s="368"/>
      <c r="AI289" s="368"/>
      <c r="AJ289" s="368"/>
      <c r="AK289" s="368"/>
      <c r="AL289" s="368"/>
      <c r="AM289" s="368"/>
    </row>
    <row r="290" spans="1:39" s="90" customFormat="1" ht="18" customHeight="1" x14ac:dyDescent="0.3">
      <c r="A290" s="432"/>
      <c r="B290" s="423"/>
      <c r="C290" s="12"/>
      <c r="D290" s="156"/>
      <c r="E290" s="31" t="s">
        <v>48</v>
      </c>
      <c r="F290" s="23" t="s">
        <v>49</v>
      </c>
      <c r="G290" s="374" t="s">
        <v>519</v>
      </c>
      <c r="H290" s="133">
        <v>152</v>
      </c>
      <c r="I290" s="156" t="s">
        <v>524</v>
      </c>
      <c r="J290" s="133">
        <v>8</v>
      </c>
      <c r="K290" s="330" t="s">
        <v>218</v>
      </c>
      <c r="L290" s="330" t="s">
        <v>218</v>
      </c>
      <c r="M290" s="24">
        <v>8813</v>
      </c>
      <c r="N290" s="330">
        <v>9086</v>
      </c>
      <c r="O290" s="368">
        <v>1112</v>
      </c>
      <c r="P290" s="368" t="s">
        <v>515</v>
      </c>
      <c r="Q290" s="368">
        <v>837</v>
      </c>
      <c r="R290" s="368" t="s">
        <v>515</v>
      </c>
      <c r="S290" s="368">
        <v>824</v>
      </c>
      <c r="T290" s="368" t="s">
        <v>515</v>
      </c>
      <c r="U290" s="368">
        <v>709</v>
      </c>
      <c r="V290" s="368" t="s">
        <v>515</v>
      </c>
      <c r="W290" s="368">
        <v>613</v>
      </c>
      <c r="X290" s="368" t="s">
        <v>515</v>
      </c>
      <c r="Y290" s="368">
        <v>578</v>
      </c>
      <c r="Z290" s="368" t="s">
        <v>515</v>
      </c>
      <c r="AA290" s="368">
        <v>637</v>
      </c>
      <c r="AB290" s="368" t="s">
        <v>515</v>
      </c>
      <c r="AC290" s="368">
        <v>579</v>
      </c>
      <c r="AD290" s="368" t="s">
        <v>515</v>
      </c>
      <c r="AE290" s="368">
        <v>590</v>
      </c>
      <c r="AF290" s="368" t="s">
        <v>515</v>
      </c>
      <c r="AG290" s="368">
        <v>559</v>
      </c>
      <c r="AH290" s="368" t="s">
        <v>515</v>
      </c>
      <c r="AI290" s="368">
        <v>908</v>
      </c>
      <c r="AJ290" s="368" t="s">
        <v>515</v>
      </c>
      <c r="AK290" s="368">
        <v>934</v>
      </c>
      <c r="AL290" s="368" t="s">
        <v>515</v>
      </c>
      <c r="AM290" s="368">
        <f>SUM(O290:AK290)</f>
        <v>8880</v>
      </c>
    </row>
    <row r="291" spans="1:39" s="90" customFormat="1" ht="18" customHeight="1" x14ac:dyDescent="0.3">
      <c r="A291" s="431">
        <v>141</v>
      </c>
      <c r="B291" s="422" t="s">
        <v>719</v>
      </c>
      <c r="C291" s="11" t="s">
        <v>512</v>
      </c>
      <c r="D291" s="156" t="s">
        <v>516</v>
      </c>
      <c r="E291" s="31" t="s">
        <v>364</v>
      </c>
      <c r="F291" s="23" t="s">
        <v>49</v>
      </c>
      <c r="G291" s="374"/>
      <c r="H291" s="133"/>
      <c r="I291" s="156"/>
      <c r="J291" s="133"/>
      <c r="K291" s="330" t="s">
        <v>218</v>
      </c>
      <c r="L291" s="330" t="s">
        <v>218</v>
      </c>
      <c r="M291" s="24">
        <v>14843</v>
      </c>
      <c r="N291" s="330">
        <v>16305</v>
      </c>
      <c r="O291" s="369">
        <v>1500</v>
      </c>
      <c r="P291" s="368" t="s">
        <v>515</v>
      </c>
      <c r="Q291" s="368">
        <v>1507</v>
      </c>
      <c r="R291" s="368" t="s">
        <v>515</v>
      </c>
      <c r="S291" s="368">
        <v>1301</v>
      </c>
      <c r="T291" s="368" t="s">
        <v>515</v>
      </c>
      <c r="U291" s="368">
        <v>1785</v>
      </c>
      <c r="V291" s="368" t="s">
        <v>515</v>
      </c>
      <c r="W291" s="368">
        <v>1550</v>
      </c>
      <c r="X291" s="368" t="s">
        <v>515</v>
      </c>
      <c r="Y291" s="368">
        <v>1420</v>
      </c>
      <c r="Z291" s="368" t="s">
        <v>515</v>
      </c>
      <c r="AA291" s="368">
        <v>1206</v>
      </c>
      <c r="AB291" s="368" t="s">
        <v>515</v>
      </c>
      <c r="AC291" s="368">
        <v>1339</v>
      </c>
      <c r="AD291" s="368" t="s">
        <v>515</v>
      </c>
      <c r="AE291" s="368">
        <v>1469</v>
      </c>
      <c r="AF291" s="368" t="s">
        <v>515</v>
      </c>
      <c r="AG291" s="368">
        <v>1391</v>
      </c>
      <c r="AH291" s="368" t="s">
        <v>515</v>
      </c>
      <c r="AI291" s="368">
        <v>1370</v>
      </c>
      <c r="AJ291" s="368" t="s">
        <v>515</v>
      </c>
      <c r="AK291" s="368">
        <v>1409</v>
      </c>
      <c r="AL291" s="368" t="s">
        <v>515</v>
      </c>
      <c r="AM291" s="368">
        <f>SUM(O291:AK291)</f>
        <v>17247</v>
      </c>
    </row>
    <row r="292" spans="1:39" s="90" customFormat="1" ht="18" customHeight="1" x14ac:dyDescent="0.3">
      <c r="A292" s="432"/>
      <c r="B292" s="423"/>
      <c r="C292" s="12"/>
      <c r="D292" s="156"/>
      <c r="E292" s="31" t="s">
        <v>48</v>
      </c>
      <c r="F292" s="23" t="s">
        <v>49</v>
      </c>
      <c r="G292" s="374" t="s">
        <v>530</v>
      </c>
      <c r="H292" s="133">
        <v>228</v>
      </c>
      <c r="I292" s="156"/>
      <c r="J292" s="133"/>
      <c r="K292" s="330" t="s">
        <v>218</v>
      </c>
      <c r="L292" s="330" t="s">
        <v>218</v>
      </c>
      <c r="M292" s="24">
        <v>12187</v>
      </c>
      <c r="N292" s="330">
        <v>19494</v>
      </c>
      <c r="O292" s="368">
        <v>3129</v>
      </c>
      <c r="P292" s="368" t="s">
        <v>515</v>
      </c>
      <c r="Q292" s="368">
        <v>3016</v>
      </c>
      <c r="R292" s="368" t="s">
        <v>515</v>
      </c>
      <c r="S292" s="368">
        <v>1960</v>
      </c>
      <c r="T292" s="368" t="s">
        <v>515</v>
      </c>
      <c r="U292" s="368">
        <v>2436</v>
      </c>
      <c r="V292" s="368" t="s">
        <v>515</v>
      </c>
      <c r="W292" s="368">
        <v>1522</v>
      </c>
      <c r="X292" s="368" t="s">
        <v>515</v>
      </c>
      <c r="Y292" s="368">
        <v>1184</v>
      </c>
      <c r="Z292" s="368" t="s">
        <v>515</v>
      </c>
      <c r="AA292" s="368">
        <v>899</v>
      </c>
      <c r="AB292" s="368" t="s">
        <v>515</v>
      </c>
      <c r="AC292" s="368">
        <v>813</v>
      </c>
      <c r="AD292" s="368" t="s">
        <v>515</v>
      </c>
      <c r="AE292" s="368">
        <v>1822</v>
      </c>
      <c r="AF292" s="368" t="s">
        <v>515</v>
      </c>
      <c r="AG292" s="368">
        <v>2269</v>
      </c>
      <c r="AH292" s="368" t="s">
        <v>515</v>
      </c>
      <c r="AI292" s="368">
        <v>2532</v>
      </c>
      <c r="AJ292" s="368" t="s">
        <v>515</v>
      </c>
      <c r="AK292" s="368">
        <v>3096</v>
      </c>
      <c r="AL292" s="368" t="s">
        <v>515</v>
      </c>
      <c r="AM292" s="368">
        <f>SUM(O292:AK292)</f>
        <v>24678</v>
      </c>
    </row>
    <row r="293" spans="1:39" s="90" customFormat="1" ht="18" customHeight="1" x14ac:dyDescent="0.3">
      <c r="A293" s="431">
        <v>142</v>
      </c>
      <c r="B293" s="422" t="s">
        <v>720</v>
      </c>
      <c r="C293" s="11" t="s">
        <v>512</v>
      </c>
      <c r="D293" s="156" t="s">
        <v>516</v>
      </c>
      <c r="E293" s="31" t="s">
        <v>364</v>
      </c>
      <c r="F293" s="23" t="s">
        <v>49</v>
      </c>
      <c r="G293" s="374"/>
      <c r="H293" s="133"/>
      <c r="I293" s="156"/>
      <c r="J293" s="133"/>
      <c r="K293" s="330"/>
      <c r="L293" s="330"/>
      <c r="M293" s="24"/>
      <c r="N293" s="330"/>
      <c r="O293" s="368"/>
      <c r="P293" s="368"/>
      <c r="Q293" s="368"/>
      <c r="R293" s="368"/>
      <c r="S293" s="368"/>
      <c r="T293" s="368"/>
      <c r="U293" s="368"/>
      <c r="V293" s="368"/>
      <c r="W293" s="368"/>
      <c r="X293" s="368"/>
      <c r="Y293" s="368"/>
      <c r="Z293" s="368"/>
      <c r="AA293" s="368"/>
      <c r="AB293" s="368"/>
      <c r="AC293" s="368"/>
      <c r="AD293" s="368"/>
      <c r="AE293" s="368"/>
      <c r="AF293" s="368"/>
      <c r="AG293" s="368"/>
      <c r="AH293" s="368"/>
      <c r="AI293" s="368"/>
      <c r="AJ293" s="368"/>
      <c r="AK293" s="368"/>
      <c r="AL293" s="368"/>
      <c r="AM293" s="368"/>
    </row>
    <row r="294" spans="1:39" s="90" customFormat="1" ht="18" customHeight="1" x14ac:dyDescent="0.3">
      <c r="A294" s="432"/>
      <c r="B294" s="423"/>
      <c r="C294" s="12"/>
      <c r="D294" s="156"/>
      <c r="E294" s="31" t="s">
        <v>48</v>
      </c>
      <c r="F294" s="23" t="s">
        <v>49</v>
      </c>
      <c r="G294" s="374" t="s">
        <v>521</v>
      </c>
      <c r="H294" s="133">
        <v>60</v>
      </c>
      <c r="I294" s="156"/>
      <c r="J294" s="133"/>
      <c r="K294" s="330" t="s">
        <v>218</v>
      </c>
      <c r="L294" s="330" t="s">
        <v>218</v>
      </c>
      <c r="M294" s="24">
        <v>0</v>
      </c>
      <c r="N294" s="330">
        <v>0</v>
      </c>
      <c r="O294" s="368">
        <v>853</v>
      </c>
      <c r="P294" s="368" t="s">
        <v>515</v>
      </c>
      <c r="Q294" s="368">
        <v>712</v>
      </c>
      <c r="R294" s="368" t="s">
        <v>515</v>
      </c>
      <c r="S294" s="368">
        <v>473</v>
      </c>
      <c r="T294" s="368" t="s">
        <v>515</v>
      </c>
      <c r="U294" s="368">
        <v>560</v>
      </c>
      <c r="V294" s="368" t="s">
        <v>515</v>
      </c>
      <c r="W294" s="368">
        <v>452</v>
      </c>
      <c r="X294" s="368" t="s">
        <v>515</v>
      </c>
      <c r="Y294" s="368">
        <v>385</v>
      </c>
      <c r="Z294" s="368" t="s">
        <v>515</v>
      </c>
      <c r="AA294" s="368">
        <v>392</v>
      </c>
      <c r="AB294" s="368" t="s">
        <v>515</v>
      </c>
      <c r="AC294" s="368">
        <v>373</v>
      </c>
      <c r="AD294" s="368" t="s">
        <v>515</v>
      </c>
      <c r="AE294" s="368">
        <v>412</v>
      </c>
      <c r="AF294" s="368" t="s">
        <v>515</v>
      </c>
      <c r="AG294" s="368">
        <v>679</v>
      </c>
      <c r="AH294" s="368" t="s">
        <v>515</v>
      </c>
      <c r="AI294" s="368">
        <v>650</v>
      </c>
      <c r="AJ294" s="368" t="s">
        <v>515</v>
      </c>
      <c r="AK294" s="368">
        <v>711</v>
      </c>
      <c r="AL294" s="368" t="s">
        <v>515</v>
      </c>
      <c r="AM294" s="368">
        <f t="shared" ref="AM294:AM304" si="8">SUM(O294:AK294)</f>
        <v>6652</v>
      </c>
    </row>
    <row r="295" spans="1:39" s="90" customFormat="1" ht="18" customHeight="1" x14ac:dyDescent="0.3">
      <c r="A295" s="431">
        <v>143</v>
      </c>
      <c r="B295" s="422" t="s">
        <v>721</v>
      </c>
      <c r="C295" s="11" t="s">
        <v>512</v>
      </c>
      <c r="D295" s="156" t="s">
        <v>516</v>
      </c>
      <c r="E295" s="31" t="s">
        <v>364</v>
      </c>
      <c r="F295" s="23" t="s">
        <v>49</v>
      </c>
      <c r="G295" s="374"/>
      <c r="H295" s="133"/>
      <c r="I295" s="156"/>
      <c r="J295" s="133"/>
      <c r="K295" s="330" t="s">
        <v>218</v>
      </c>
      <c r="L295" s="330" t="s">
        <v>218</v>
      </c>
      <c r="M295" s="24">
        <v>15643</v>
      </c>
      <c r="N295" s="330">
        <v>16661</v>
      </c>
      <c r="O295" s="368">
        <v>1267</v>
      </c>
      <c r="P295" s="368" t="s">
        <v>515</v>
      </c>
      <c r="Q295" s="368">
        <v>1253</v>
      </c>
      <c r="R295" s="368" t="s">
        <v>515</v>
      </c>
      <c r="S295" s="368">
        <v>1209</v>
      </c>
      <c r="T295" s="368" t="s">
        <v>515</v>
      </c>
      <c r="U295" s="368">
        <v>1296</v>
      </c>
      <c r="V295" s="368" t="s">
        <v>515</v>
      </c>
      <c r="W295" s="368">
        <v>1341</v>
      </c>
      <c r="X295" s="368" t="s">
        <v>515</v>
      </c>
      <c r="Y295" s="368">
        <v>1277</v>
      </c>
      <c r="Z295" s="368" t="s">
        <v>515</v>
      </c>
      <c r="AA295" s="368">
        <v>1062</v>
      </c>
      <c r="AB295" s="368" t="s">
        <v>515</v>
      </c>
      <c r="AC295" s="368">
        <v>1123</v>
      </c>
      <c r="AD295" s="368" t="s">
        <v>515</v>
      </c>
      <c r="AE295" s="368">
        <v>1315</v>
      </c>
      <c r="AF295" s="368" t="s">
        <v>515</v>
      </c>
      <c r="AG295" s="368">
        <v>1234</v>
      </c>
      <c r="AH295" s="368" t="s">
        <v>515</v>
      </c>
      <c r="AI295" s="368">
        <v>1220</v>
      </c>
      <c r="AJ295" s="368" t="s">
        <v>515</v>
      </c>
      <c r="AK295" s="368">
        <v>1402</v>
      </c>
      <c r="AL295" s="368" t="s">
        <v>515</v>
      </c>
      <c r="AM295" s="368">
        <f t="shared" si="8"/>
        <v>14999</v>
      </c>
    </row>
    <row r="296" spans="1:39" s="90" customFormat="1" ht="18" customHeight="1" x14ac:dyDescent="0.3">
      <c r="A296" s="432"/>
      <c r="B296" s="423"/>
      <c r="C296" s="12"/>
      <c r="D296" s="156"/>
      <c r="E296" s="31" t="s">
        <v>48</v>
      </c>
      <c r="F296" s="23" t="s">
        <v>49</v>
      </c>
      <c r="G296" s="374" t="s">
        <v>530</v>
      </c>
      <c r="H296" s="133">
        <v>210</v>
      </c>
      <c r="I296" s="156"/>
      <c r="J296" s="133"/>
      <c r="K296" s="330" t="s">
        <v>218</v>
      </c>
      <c r="L296" s="330" t="s">
        <v>218</v>
      </c>
      <c r="M296" s="24">
        <v>15334</v>
      </c>
      <c r="N296" s="330">
        <v>16692</v>
      </c>
      <c r="O296" s="368">
        <v>2223</v>
      </c>
      <c r="P296" s="368" t="s">
        <v>515</v>
      </c>
      <c r="Q296" s="368">
        <v>1841</v>
      </c>
      <c r="R296" s="368" t="s">
        <v>515</v>
      </c>
      <c r="S296" s="368">
        <v>1476</v>
      </c>
      <c r="T296" s="368" t="s">
        <v>515</v>
      </c>
      <c r="U296" s="368">
        <v>1162</v>
      </c>
      <c r="V296" s="368" t="s">
        <v>515</v>
      </c>
      <c r="W296" s="368">
        <v>927</v>
      </c>
      <c r="X296" s="368" t="s">
        <v>515</v>
      </c>
      <c r="Y296" s="368">
        <v>639</v>
      </c>
      <c r="Z296" s="368" t="s">
        <v>515</v>
      </c>
      <c r="AA296" s="368">
        <v>539</v>
      </c>
      <c r="AB296" s="368" t="s">
        <v>515</v>
      </c>
      <c r="AC296" s="368">
        <v>698</v>
      </c>
      <c r="AD296" s="368" t="s">
        <v>515</v>
      </c>
      <c r="AE296" s="368">
        <v>1010</v>
      </c>
      <c r="AF296" s="368" t="s">
        <v>515</v>
      </c>
      <c r="AG296" s="368">
        <v>1235</v>
      </c>
      <c r="AH296" s="368" t="s">
        <v>515</v>
      </c>
      <c r="AI296" s="368">
        <v>1752</v>
      </c>
      <c r="AJ296" s="368" t="s">
        <v>515</v>
      </c>
      <c r="AK296" s="368">
        <v>2404</v>
      </c>
      <c r="AL296" s="368" t="s">
        <v>515</v>
      </c>
      <c r="AM296" s="368">
        <f t="shared" si="8"/>
        <v>15906</v>
      </c>
    </row>
    <row r="297" spans="1:39" s="90" customFormat="1" ht="18" customHeight="1" x14ac:dyDescent="0.3">
      <c r="A297" s="431">
        <v>144</v>
      </c>
      <c r="B297" s="422" t="s">
        <v>722</v>
      </c>
      <c r="C297" s="11" t="s">
        <v>512</v>
      </c>
      <c r="D297" s="156" t="s">
        <v>516</v>
      </c>
      <c r="E297" s="31" t="s">
        <v>364</v>
      </c>
      <c r="F297" s="23" t="s">
        <v>49</v>
      </c>
      <c r="G297" s="374"/>
      <c r="H297" s="133"/>
      <c r="I297" s="156"/>
      <c r="J297" s="133"/>
      <c r="K297" s="330" t="s">
        <v>218</v>
      </c>
      <c r="L297" s="330" t="s">
        <v>218</v>
      </c>
      <c r="M297" s="24">
        <v>2855</v>
      </c>
      <c r="N297" s="330">
        <v>2818</v>
      </c>
      <c r="O297" s="368">
        <v>225</v>
      </c>
      <c r="P297" s="368" t="s">
        <v>515</v>
      </c>
      <c r="Q297" s="368">
        <v>193</v>
      </c>
      <c r="R297" s="368" t="s">
        <v>515</v>
      </c>
      <c r="S297" s="368">
        <v>210</v>
      </c>
      <c r="T297" s="368" t="s">
        <v>515</v>
      </c>
      <c r="U297" s="368">
        <v>228</v>
      </c>
      <c r="V297" s="368" t="s">
        <v>515</v>
      </c>
      <c r="W297" s="368">
        <v>181</v>
      </c>
      <c r="X297" s="368" t="s">
        <v>515</v>
      </c>
      <c r="Y297" s="368">
        <v>161</v>
      </c>
      <c r="Z297" s="368" t="s">
        <v>515</v>
      </c>
      <c r="AA297" s="368">
        <v>176</v>
      </c>
      <c r="AB297" s="368" t="s">
        <v>515</v>
      </c>
      <c r="AC297" s="368">
        <v>156</v>
      </c>
      <c r="AD297" s="368" t="s">
        <v>515</v>
      </c>
      <c r="AE297" s="368">
        <v>182</v>
      </c>
      <c r="AF297" s="368" t="s">
        <v>515</v>
      </c>
      <c r="AG297" s="368">
        <v>173</v>
      </c>
      <c r="AH297" s="368" t="s">
        <v>515</v>
      </c>
      <c r="AI297" s="368">
        <v>161</v>
      </c>
      <c r="AJ297" s="368" t="s">
        <v>515</v>
      </c>
      <c r="AK297" s="368">
        <v>178</v>
      </c>
      <c r="AL297" s="368" t="s">
        <v>515</v>
      </c>
      <c r="AM297" s="368">
        <f t="shared" si="8"/>
        <v>2224</v>
      </c>
    </row>
    <row r="298" spans="1:39" s="90" customFormat="1" ht="18" customHeight="1" x14ac:dyDescent="0.3">
      <c r="A298" s="432"/>
      <c r="B298" s="423"/>
      <c r="C298" s="12"/>
      <c r="D298" s="156"/>
      <c r="E298" s="31" t="s">
        <v>48</v>
      </c>
      <c r="F298" s="23" t="s">
        <v>49</v>
      </c>
      <c r="G298" s="374" t="s">
        <v>565</v>
      </c>
      <c r="H298" s="133">
        <v>32</v>
      </c>
      <c r="I298" s="156"/>
      <c r="J298" s="133"/>
      <c r="K298" s="330" t="s">
        <v>218</v>
      </c>
      <c r="L298" s="330" t="s">
        <v>218</v>
      </c>
      <c r="M298" s="24">
        <v>6882</v>
      </c>
      <c r="N298" s="330">
        <v>7563</v>
      </c>
      <c r="O298" s="368">
        <v>659</v>
      </c>
      <c r="P298" s="368" t="s">
        <v>515</v>
      </c>
      <c r="Q298" s="368">
        <v>525</v>
      </c>
      <c r="R298" s="368" t="s">
        <v>515</v>
      </c>
      <c r="S298" s="368">
        <v>429</v>
      </c>
      <c r="T298" s="368" t="s">
        <v>515</v>
      </c>
      <c r="U298" s="368">
        <v>393</v>
      </c>
      <c r="V298" s="368" t="s">
        <v>515</v>
      </c>
      <c r="W298" s="368">
        <v>534</v>
      </c>
      <c r="X298" s="368" t="s">
        <v>515</v>
      </c>
      <c r="Y298" s="368">
        <v>451</v>
      </c>
      <c r="Z298" s="368" t="s">
        <v>515</v>
      </c>
      <c r="AA298" s="368">
        <v>469</v>
      </c>
      <c r="AB298" s="368" t="s">
        <v>515</v>
      </c>
      <c r="AC298" s="368">
        <v>351</v>
      </c>
      <c r="AD298" s="368" t="s">
        <v>515</v>
      </c>
      <c r="AE298" s="368">
        <v>469</v>
      </c>
      <c r="AF298" s="368" t="s">
        <v>515</v>
      </c>
      <c r="AG298" s="368">
        <v>548</v>
      </c>
      <c r="AH298" s="368" t="s">
        <v>515</v>
      </c>
      <c r="AI298" s="368">
        <v>428</v>
      </c>
      <c r="AJ298" s="368" t="s">
        <v>515</v>
      </c>
      <c r="AK298" s="368">
        <v>541</v>
      </c>
      <c r="AL298" s="368" t="s">
        <v>515</v>
      </c>
      <c r="AM298" s="368">
        <f t="shared" si="8"/>
        <v>5797</v>
      </c>
    </row>
    <row r="299" spans="1:39" s="90" customFormat="1" ht="18" customHeight="1" x14ac:dyDescent="0.3">
      <c r="A299" s="431">
        <v>145</v>
      </c>
      <c r="B299" s="422" t="s">
        <v>723</v>
      </c>
      <c r="C299" s="11" t="s">
        <v>512</v>
      </c>
      <c r="D299" s="156" t="s">
        <v>516</v>
      </c>
      <c r="E299" s="31" t="s">
        <v>364</v>
      </c>
      <c r="F299" s="23" t="s">
        <v>49</v>
      </c>
      <c r="G299" s="374"/>
      <c r="H299" s="133"/>
      <c r="I299" s="156"/>
      <c r="J299" s="133"/>
      <c r="K299" s="330" t="s">
        <v>218</v>
      </c>
      <c r="L299" s="330" t="s">
        <v>218</v>
      </c>
      <c r="M299" s="24">
        <v>2673</v>
      </c>
      <c r="N299" s="330">
        <v>2758</v>
      </c>
      <c r="O299" s="368">
        <v>228</v>
      </c>
      <c r="P299" s="368" t="s">
        <v>515</v>
      </c>
      <c r="Q299" s="368">
        <v>230</v>
      </c>
      <c r="R299" s="368" t="s">
        <v>515</v>
      </c>
      <c r="S299" s="368">
        <v>236</v>
      </c>
      <c r="T299" s="368" t="s">
        <v>515</v>
      </c>
      <c r="U299" s="368">
        <v>282</v>
      </c>
      <c r="V299" s="368" t="s">
        <v>515</v>
      </c>
      <c r="W299" s="368">
        <v>241</v>
      </c>
      <c r="X299" s="368" t="s">
        <v>515</v>
      </c>
      <c r="Y299" s="368">
        <v>204</v>
      </c>
      <c r="Z299" s="368" t="s">
        <v>515</v>
      </c>
      <c r="AA299" s="368">
        <v>237</v>
      </c>
      <c r="AB299" s="368" t="s">
        <v>515</v>
      </c>
      <c r="AC299" s="368">
        <v>227</v>
      </c>
      <c r="AD299" s="368" t="s">
        <v>515</v>
      </c>
      <c r="AE299" s="368">
        <v>254</v>
      </c>
      <c r="AF299" s="368" t="s">
        <v>515</v>
      </c>
      <c r="AG299" s="368">
        <v>212</v>
      </c>
      <c r="AH299" s="368" t="s">
        <v>515</v>
      </c>
      <c r="AI299" s="368">
        <v>250</v>
      </c>
      <c r="AJ299" s="368" t="s">
        <v>515</v>
      </c>
      <c r="AK299" s="368">
        <v>230</v>
      </c>
      <c r="AL299" s="368" t="s">
        <v>515</v>
      </c>
      <c r="AM299" s="368">
        <f t="shared" si="8"/>
        <v>2831</v>
      </c>
    </row>
    <row r="300" spans="1:39" s="90" customFormat="1" ht="18" customHeight="1" x14ac:dyDescent="0.3">
      <c r="A300" s="432"/>
      <c r="B300" s="423"/>
      <c r="C300" s="12"/>
      <c r="D300" s="156"/>
      <c r="E300" s="31" t="s">
        <v>48</v>
      </c>
      <c r="F300" s="23" t="s">
        <v>49</v>
      </c>
      <c r="G300" s="374" t="s">
        <v>518</v>
      </c>
      <c r="H300" s="133">
        <v>33</v>
      </c>
      <c r="I300" s="156"/>
      <c r="J300" s="133"/>
      <c r="K300" s="330" t="s">
        <v>218</v>
      </c>
      <c r="L300" s="330" t="s">
        <v>218</v>
      </c>
      <c r="M300" s="24">
        <v>6914</v>
      </c>
      <c r="N300" s="330">
        <v>8267</v>
      </c>
      <c r="O300" s="368">
        <v>730</v>
      </c>
      <c r="P300" s="368" t="s">
        <v>515</v>
      </c>
      <c r="Q300" s="368">
        <v>684</v>
      </c>
      <c r="R300" s="368" t="s">
        <v>515</v>
      </c>
      <c r="S300" s="368">
        <v>654</v>
      </c>
      <c r="T300" s="368" t="s">
        <v>515</v>
      </c>
      <c r="U300" s="368">
        <v>892</v>
      </c>
      <c r="V300" s="368" t="s">
        <v>515</v>
      </c>
      <c r="W300" s="368">
        <v>767</v>
      </c>
      <c r="X300" s="368" t="s">
        <v>515</v>
      </c>
      <c r="Y300" s="368">
        <v>662</v>
      </c>
      <c r="Z300" s="368" t="s">
        <v>515</v>
      </c>
      <c r="AA300" s="368">
        <v>697</v>
      </c>
      <c r="AB300" s="368" t="s">
        <v>515</v>
      </c>
      <c r="AC300" s="368">
        <v>769</v>
      </c>
      <c r="AD300" s="368" t="s">
        <v>515</v>
      </c>
      <c r="AE300" s="368">
        <v>907</v>
      </c>
      <c r="AF300" s="368" t="s">
        <v>515</v>
      </c>
      <c r="AG300" s="368">
        <v>764</v>
      </c>
      <c r="AH300" s="368" t="s">
        <v>515</v>
      </c>
      <c r="AI300" s="368">
        <v>1001</v>
      </c>
      <c r="AJ300" s="368" t="s">
        <v>515</v>
      </c>
      <c r="AK300" s="368">
        <v>1158</v>
      </c>
      <c r="AL300" s="368" t="s">
        <v>515</v>
      </c>
      <c r="AM300" s="368">
        <f t="shared" si="8"/>
        <v>9685</v>
      </c>
    </row>
    <row r="301" spans="1:39" s="90" customFormat="1" ht="18" customHeight="1" x14ac:dyDescent="0.3">
      <c r="A301" s="431">
        <v>146</v>
      </c>
      <c r="B301" s="422" t="s">
        <v>724</v>
      </c>
      <c r="C301" s="11" t="s">
        <v>512</v>
      </c>
      <c r="D301" s="156" t="s">
        <v>516</v>
      </c>
      <c r="E301" s="31" t="s">
        <v>364</v>
      </c>
      <c r="F301" s="23" t="s">
        <v>49</v>
      </c>
      <c r="G301" s="374"/>
      <c r="H301" s="133"/>
      <c r="I301" s="156"/>
      <c r="J301" s="133"/>
      <c r="K301" s="330" t="s">
        <v>218</v>
      </c>
      <c r="L301" s="330" t="s">
        <v>218</v>
      </c>
      <c r="M301" s="24">
        <v>2672</v>
      </c>
      <c r="N301" s="330">
        <v>2423</v>
      </c>
      <c r="O301" s="368">
        <v>193</v>
      </c>
      <c r="P301" s="368" t="s">
        <v>515</v>
      </c>
      <c r="Q301" s="368">
        <v>191</v>
      </c>
      <c r="R301" s="368" t="s">
        <v>515</v>
      </c>
      <c r="S301" s="368">
        <v>197</v>
      </c>
      <c r="T301" s="368" t="s">
        <v>515</v>
      </c>
      <c r="U301" s="368">
        <v>211</v>
      </c>
      <c r="V301" s="368" t="s">
        <v>515</v>
      </c>
      <c r="W301" s="368">
        <v>187</v>
      </c>
      <c r="X301" s="368" t="s">
        <v>515</v>
      </c>
      <c r="Y301" s="368">
        <v>159</v>
      </c>
      <c r="Z301" s="368" t="s">
        <v>515</v>
      </c>
      <c r="AA301" s="368">
        <v>181</v>
      </c>
      <c r="AB301" s="368" t="s">
        <v>515</v>
      </c>
      <c r="AC301" s="368">
        <v>177</v>
      </c>
      <c r="AD301" s="368" t="s">
        <v>515</v>
      </c>
      <c r="AE301" s="368">
        <v>228</v>
      </c>
      <c r="AF301" s="368" t="s">
        <v>515</v>
      </c>
      <c r="AG301" s="368">
        <v>212</v>
      </c>
      <c r="AH301" s="368" t="s">
        <v>515</v>
      </c>
      <c r="AI301" s="368">
        <v>196</v>
      </c>
      <c r="AJ301" s="368" t="s">
        <v>515</v>
      </c>
      <c r="AK301" s="368">
        <v>209</v>
      </c>
      <c r="AL301" s="368" t="s">
        <v>515</v>
      </c>
      <c r="AM301" s="368">
        <f t="shared" si="8"/>
        <v>2341</v>
      </c>
    </row>
    <row r="302" spans="1:39" s="90" customFormat="1" ht="18" customHeight="1" x14ac:dyDescent="0.3">
      <c r="A302" s="432"/>
      <c r="B302" s="423"/>
      <c r="C302" s="12"/>
      <c r="D302" s="156"/>
      <c r="E302" s="31" t="s">
        <v>48</v>
      </c>
      <c r="F302" s="23" t="s">
        <v>49</v>
      </c>
      <c r="G302" s="374" t="s">
        <v>566</v>
      </c>
      <c r="H302" s="133">
        <v>32</v>
      </c>
      <c r="I302" s="156"/>
      <c r="J302" s="133"/>
      <c r="K302" s="330" t="s">
        <v>218</v>
      </c>
      <c r="L302" s="330" t="s">
        <v>218</v>
      </c>
      <c r="M302" s="24">
        <v>6379</v>
      </c>
      <c r="N302" s="330">
        <v>7582</v>
      </c>
      <c r="O302" s="368">
        <v>376</v>
      </c>
      <c r="P302" s="368" t="s">
        <v>515</v>
      </c>
      <c r="Q302" s="368">
        <v>226</v>
      </c>
      <c r="R302" s="368" t="s">
        <v>515</v>
      </c>
      <c r="S302" s="368">
        <v>276</v>
      </c>
      <c r="T302" s="368" t="s">
        <v>515</v>
      </c>
      <c r="U302" s="368">
        <v>309</v>
      </c>
      <c r="V302" s="368" t="s">
        <v>515</v>
      </c>
      <c r="W302" s="368">
        <v>232</v>
      </c>
      <c r="X302" s="368" t="s">
        <v>515</v>
      </c>
      <c r="Y302" s="368">
        <v>194</v>
      </c>
      <c r="Z302" s="368" t="s">
        <v>515</v>
      </c>
      <c r="AA302" s="368">
        <v>204</v>
      </c>
      <c r="AB302" s="368" t="s">
        <v>515</v>
      </c>
      <c r="AC302" s="368">
        <v>190</v>
      </c>
      <c r="AD302" s="368" t="s">
        <v>515</v>
      </c>
      <c r="AE302" s="368">
        <v>195</v>
      </c>
      <c r="AF302" s="368" t="s">
        <v>515</v>
      </c>
      <c r="AG302" s="368">
        <v>221</v>
      </c>
      <c r="AH302" s="368" t="s">
        <v>515</v>
      </c>
      <c r="AI302" s="368">
        <v>198</v>
      </c>
      <c r="AJ302" s="368" t="s">
        <v>515</v>
      </c>
      <c r="AK302" s="368">
        <v>239</v>
      </c>
      <c r="AL302" s="368" t="s">
        <v>515</v>
      </c>
      <c r="AM302" s="368">
        <f t="shared" si="8"/>
        <v>2860</v>
      </c>
    </row>
    <row r="303" spans="1:39" s="90" customFormat="1" ht="18" customHeight="1" x14ac:dyDescent="0.3">
      <c r="A303" s="431">
        <v>147</v>
      </c>
      <c r="B303" s="422" t="s">
        <v>725</v>
      </c>
      <c r="C303" s="11" t="s">
        <v>512</v>
      </c>
      <c r="D303" s="156" t="s">
        <v>516</v>
      </c>
      <c r="E303" s="31" t="s">
        <v>364</v>
      </c>
      <c r="F303" s="23" t="s">
        <v>49</v>
      </c>
      <c r="G303" s="374"/>
      <c r="H303" s="133"/>
      <c r="I303" s="156"/>
      <c r="J303" s="133"/>
      <c r="K303" s="330" t="s">
        <v>218</v>
      </c>
      <c r="L303" s="330" t="s">
        <v>218</v>
      </c>
      <c r="M303" s="24">
        <v>15668</v>
      </c>
      <c r="N303" s="330">
        <v>13577</v>
      </c>
      <c r="O303" s="368">
        <v>1110</v>
      </c>
      <c r="P303" s="368" t="s">
        <v>515</v>
      </c>
      <c r="Q303" s="368">
        <v>954</v>
      </c>
      <c r="R303" s="368" t="s">
        <v>515</v>
      </c>
      <c r="S303" s="368">
        <v>938</v>
      </c>
      <c r="T303" s="368" t="s">
        <v>515</v>
      </c>
      <c r="U303" s="368">
        <v>1269</v>
      </c>
      <c r="V303" s="368" t="s">
        <v>515</v>
      </c>
      <c r="W303" s="368">
        <v>1064</v>
      </c>
      <c r="X303" s="368" t="s">
        <v>515</v>
      </c>
      <c r="Y303" s="368">
        <v>1044</v>
      </c>
      <c r="Z303" s="368" t="s">
        <v>515</v>
      </c>
      <c r="AA303" s="368">
        <v>1071</v>
      </c>
      <c r="AB303" s="368" t="s">
        <v>515</v>
      </c>
      <c r="AC303" s="368">
        <v>942</v>
      </c>
      <c r="AD303" s="368" t="s">
        <v>515</v>
      </c>
      <c r="AE303" s="368">
        <v>1033</v>
      </c>
      <c r="AF303" s="368" t="s">
        <v>515</v>
      </c>
      <c r="AG303" s="368">
        <v>947</v>
      </c>
      <c r="AH303" s="368" t="s">
        <v>515</v>
      </c>
      <c r="AI303" s="368">
        <v>1056</v>
      </c>
      <c r="AJ303" s="368" t="s">
        <v>515</v>
      </c>
      <c r="AK303" s="368">
        <v>1017</v>
      </c>
      <c r="AL303" s="368" t="s">
        <v>515</v>
      </c>
      <c r="AM303" s="368">
        <f t="shared" si="8"/>
        <v>12445</v>
      </c>
    </row>
    <row r="304" spans="1:39" s="90" customFormat="1" ht="18" customHeight="1" x14ac:dyDescent="0.3">
      <c r="A304" s="432"/>
      <c r="B304" s="423"/>
      <c r="C304" s="12"/>
      <c r="D304" s="156"/>
      <c r="E304" s="31" t="s">
        <v>48</v>
      </c>
      <c r="F304" s="23" t="s">
        <v>49</v>
      </c>
      <c r="G304" s="374" t="s">
        <v>567</v>
      </c>
      <c r="H304" s="133">
        <v>184</v>
      </c>
      <c r="I304" s="156"/>
      <c r="J304" s="133"/>
      <c r="K304" s="330" t="s">
        <v>218</v>
      </c>
      <c r="L304" s="330" t="s">
        <v>218</v>
      </c>
      <c r="M304" s="24">
        <v>23209</v>
      </c>
      <c r="N304" s="330">
        <v>25619</v>
      </c>
      <c r="O304" s="368">
        <v>3041</v>
      </c>
      <c r="P304" s="368" t="s">
        <v>515</v>
      </c>
      <c r="Q304" s="368">
        <v>2734</v>
      </c>
      <c r="R304" s="368" t="s">
        <v>515</v>
      </c>
      <c r="S304" s="368">
        <v>2406</v>
      </c>
      <c r="T304" s="368" t="s">
        <v>515</v>
      </c>
      <c r="U304" s="368">
        <v>1757</v>
      </c>
      <c r="V304" s="368" t="s">
        <v>515</v>
      </c>
      <c r="W304" s="368">
        <v>1088</v>
      </c>
      <c r="X304" s="368" t="s">
        <v>515</v>
      </c>
      <c r="Y304" s="368">
        <v>767</v>
      </c>
      <c r="Z304" s="368" t="s">
        <v>515</v>
      </c>
      <c r="AA304" s="368">
        <v>940</v>
      </c>
      <c r="AB304" s="368" t="s">
        <v>515</v>
      </c>
      <c r="AC304" s="368">
        <v>888</v>
      </c>
      <c r="AD304" s="368" t="s">
        <v>515</v>
      </c>
      <c r="AE304" s="368">
        <v>1691</v>
      </c>
      <c r="AF304" s="368" t="s">
        <v>515</v>
      </c>
      <c r="AG304" s="368">
        <v>2086</v>
      </c>
      <c r="AH304" s="368" t="s">
        <v>515</v>
      </c>
      <c r="AI304" s="368">
        <v>2164</v>
      </c>
      <c r="AJ304" s="368" t="s">
        <v>515</v>
      </c>
      <c r="AK304" s="368">
        <v>2201</v>
      </c>
      <c r="AL304" s="368" t="s">
        <v>515</v>
      </c>
      <c r="AM304" s="368">
        <f t="shared" si="8"/>
        <v>21763</v>
      </c>
    </row>
    <row r="305" spans="1:39" s="90" customFormat="1" ht="18" customHeight="1" x14ac:dyDescent="0.3">
      <c r="A305" s="431">
        <v>148</v>
      </c>
      <c r="B305" s="422" t="s">
        <v>726</v>
      </c>
      <c r="C305" s="11" t="s">
        <v>512</v>
      </c>
      <c r="D305" s="156" t="s">
        <v>516</v>
      </c>
      <c r="E305" s="31" t="s">
        <v>364</v>
      </c>
      <c r="F305" s="23" t="s">
        <v>49</v>
      </c>
      <c r="G305" s="374"/>
      <c r="H305" s="133"/>
      <c r="I305" s="156"/>
      <c r="J305" s="133"/>
      <c r="K305" s="330"/>
      <c r="L305" s="330"/>
      <c r="M305" s="24"/>
      <c r="N305" s="330"/>
      <c r="O305" s="368"/>
      <c r="P305" s="368"/>
      <c r="Q305" s="368"/>
      <c r="R305" s="368"/>
      <c r="S305" s="368"/>
      <c r="T305" s="368"/>
      <c r="U305" s="368"/>
      <c r="V305" s="368"/>
      <c r="W305" s="368"/>
      <c r="X305" s="368"/>
      <c r="Y305" s="368"/>
      <c r="Z305" s="368"/>
      <c r="AA305" s="368"/>
      <c r="AB305" s="368"/>
      <c r="AC305" s="368"/>
      <c r="AD305" s="368"/>
      <c r="AE305" s="368"/>
      <c r="AF305" s="368"/>
      <c r="AG305" s="368"/>
      <c r="AH305" s="368"/>
      <c r="AI305" s="368"/>
      <c r="AJ305" s="368"/>
      <c r="AK305" s="368"/>
      <c r="AL305" s="368"/>
      <c r="AM305" s="368"/>
    </row>
    <row r="306" spans="1:39" s="90" customFormat="1" ht="18" customHeight="1" x14ac:dyDescent="0.3">
      <c r="A306" s="432"/>
      <c r="B306" s="423"/>
      <c r="C306" s="12"/>
      <c r="D306" s="156"/>
      <c r="E306" s="31" t="s">
        <v>48</v>
      </c>
      <c r="F306" s="23" t="s">
        <v>49</v>
      </c>
      <c r="G306" s="374" t="s">
        <v>518</v>
      </c>
      <c r="H306" s="133">
        <v>42</v>
      </c>
      <c r="I306" s="156"/>
      <c r="J306" s="133"/>
      <c r="K306" s="330" t="s">
        <v>218</v>
      </c>
      <c r="L306" s="330" t="s">
        <v>218</v>
      </c>
      <c r="M306" s="24">
        <v>5940</v>
      </c>
      <c r="N306" s="330">
        <v>6395</v>
      </c>
      <c r="O306" s="368">
        <v>731</v>
      </c>
      <c r="P306" s="368" t="s">
        <v>515</v>
      </c>
      <c r="Q306" s="368">
        <v>627</v>
      </c>
      <c r="R306" s="368" t="s">
        <v>515</v>
      </c>
      <c r="S306" s="368">
        <v>486</v>
      </c>
      <c r="T306" s="368" t="s">
        <v>515</v>
      </c>
      <c r="U306" s="368">
        <v>333</v>
      </c>
      <c r="V306" s="368" t="s">
        <v>515</v>
      </c>
      <c r="W306" s="368">
        <v>264</v>
      </c>
      <c r="X306" s="368" t="s">
        <v>515</v>
      </c>
      <c r="Y306" s="368">
        <v>199</v>
      </c>
      <c r="Z306" s="368" t="s">
        <v>515</v>
      </c>
      <c r="AA306" s="368">
        <v>223</v>
      </c>
      <c r="AB306" s="368" t="s">
        <v>515</v>
      </c>
      <c r="AC306" s="368">
        <v>248</v>
      </c>
      <c r="AD306" s="368" t="s">
        <v>515</v>
      </c>
      <c r="AE306" s="368">
        <v>366</v>
      </c>
      <c r="AF306" s="368" t="s">
        <v>515</v>
      </c>
      <c r="AG306" s="368">
        <v>388</v>
      </c>
      <c r="AH306" s="368" t="s">
        <v>515</v>
      </c>
      <c r="AI306" s="368">
        <v>559</v>
      </c>
      <c r="AJ306" s="368" t="s">
        <v>515</v>
      </c>
      <c r="AK306" s="368">
        <v>555</v>
      </c>
      <c r="AL306" s="368" t="s">
        <v>515</v>
      </c>
      <c r="AM306" s="368">
        <f>SUM(O306:AK306)</f>
        <v>4979</v>
      </c>
    </row>
    <row r="307" spans="1:39" s="90" customFormat="1" ht="18" customHeight="1" x14ac:dyDescent="0.3">
      <c r="A307" s="431">
        <v>149</v>
      </c>
      <c r="B307" s="422" t="s">
        <v>727</v>
      </c>
      <c r="C307" s="11" t="s">
        <v>512</v>
      </c>
      <c r="D307" s="156" t="s">
        <v>516</v>
      </c>
      <c r="E307" s="31" t="s">
        <v>364</v>
      </c>
      <c r="F307" s="23" t="s">
        <v>49</v>
      </c>
      <c r="G307" s="374"/>
      <c r="H307" s="133"/>
      <c r="I307" s="156"/>
      <c r="J307" s="133"/>
      <c r="K307" s="330"/>
      <c r="L307" s="330"/>
      <c r="M307" s="24"/>
      <c r="N307" s="330"/>
      <c r="O307" s="368"/>
      <c r="P307" s="368"/>
      <c r="Q307" s="368"/>
      <c r="R307" s="368"/>
      <c r="S307" s="368"/>
      <c r="T307" s="368"/>
      <c r="U307" s="368"/>
      <c r="V307" s="368"/>
      <c r="W307" s="368"/>
      <c r="X307" s="368"/>
      <c r="Y307" s="368"/>
      <c r="Z307" s="368"/>
      <c r="AA307" s="368"/>
      <c r="AB307" s="368"/>
      <c r="AC307" s="368"/>
      <c r="AD307" s="368"/>
      <c r="AE307" s="368"/>
      <c r="AF307" s="368"/>
      <c r="AG307" s="368"/>
      <c r="AH307" s="368"/>
      <c r="AI307" s="368"/>
      <c r="AJ307" s="368"/>
      <c r="AK307" s="368"/>
      <c r="AL307" s="368"/>
      <c r="AM307" s="368"/>
    </row>
    <row r="308" spans="1:39" s="90" customFormat="1" ht="18" customHeight="1" x14ac:dyDescent="0.3">
      <c r="A308" s="432"/>
      <c r="B308" s="423"/>
      <c r="C308" s="12"/>
      <c r="D308" s="156"/>
      <c r="E308" s="31" t="s">
        <v>48</v>
      </c>
      <c r="F308" s="23" t="s">
        <v>49</v>
      </c>
      <c r="G308" s="374" t="s">
        <v>519</v>
      </c>
      <c r="H308" s="133">
        <v>152</v>
      </c>
      <c r="I308" s="156"/>
      <c r="J308" s="133"/>
      <c r="K308" s="330" t="s">
        <v>218</v>
      </c>
      <c r="L308" s="330" t="s">
        <v>218</v>
      </c>
      <c r="M308" s="24">
        <v>10230</v>
      </c>
      <c r="N308" s="330">
        <v>10253</v>
      </c>
      <c r="O308" s="368">
        <v>1133</v>
      </c>
      <c r="P308" s="368" t="s">
        <v>515</v>
      </c>
      <c r="Q308" s="368">
        <v>979</v>
      </c>
      <c r="R308" s="368" t="s">
        <v>515</v>
      </c>
      <c r="S308" s="368">
        <v>846</v>
      </c>
      <c r="T308" s="368" t="s">
        <v>515</v>
      </c>
      <c r="U308" s="368">
        <v>758</v>
      </c>
      <c r="V308" s="368" t="s">
        <v>515</v>
      </c>
      <c r="W308" s="368">
        <v>570</v>
      </c>
      <c r="X308" s="368" t="s">
        <v>515</v>
      </c>
      <c r="Y308" s="368">
        <v>513</v>
      </c>
      <c r="Z308" s="368" t="s">
        <v>515</v>
      </c>
      <c r="AA308" s="368">
        <v>576</v>
      </c>
      <c r="AB308" s="368" t="s">
        <v>515</v>
      </c>
      <c r="AC308" s="368">
        <v>592</v>
      </c>
      <c r="AD308" s="368" t="s">
        <v>515</v>
      </c>
      <c r="AE308" s="368">
        <v>595</v>
      </c>
      <c r="AF308" s="368" t="s">
        <v>515</v>
      </c>
      <c r="AG308" s="368">
        <v>752</v>
      </c>
      <c r="AH308" s="368" t="s">
        <v>515</v>
      </c>
      <c r="AI308" s="368">
        <v>788</v>
      </c>
      <c r="AJ308" s="368" t="s">
        <v>515</v>
      </c>
      <c r="AK308" s="368">
        <v>922</v>
      </c>
      <c r="AL308" s="368" t="s">
        <v>515</v>
      </c>
      <c r="AM308" s="368">
        <f>SUM(O308:AK308)</f>
        <v>9024</v>
      </c>
    </row>
    <row r="309" spans="1:39" s="90" customFormat="1" ht="18" customHeight="1" x14ac:dyDescent="0.3">
      <c r="A309" s="431">
        <v>150</v>
      </c>
      <c r="B309" s="422" t="s">
        <v>728</v>
      </c>
      <c r="C309" s="11" t="s">
        <v>512</v>
      </c>
      <c r="D309" s="156" t="s">
        <v>568</v>
      </c>
      <c r="E309" s="31" t="s">
        <v>364</v>
      </c>
      <c r="F309" s="23" t="s">
        <v>49</v>
      </c>
      <c r="G309" s="374"/>
      <c r="H309" s="133"/>
      <c r="I309" s="156"/>
      <c r="J309" s="133"/>
      <c r="K309" s="330"/>
      <c r="L309" s="330"/>
      <c r="M309" s="24"/>
      <c r="N309" s="330"/>
      <c r="O309" s="368"/>
      <c r="P309" s="368"/>
      <c r="Q309" s="368"/>
      <c r="R309" s="368"/>
      <c r="S309" s="368"/>
      <c r="T309" s="368"/>
      <c r="U309" s="368"/>
      <c r="V309" s="368"/>
      <c r="W309" s="368"/>
      <c r="X309" s="368"/>
      <c r="Y309" s="368"/>
      <c r="Z309" s="368"/>
      <c r="AA309" s="368"/>
      <c r="AB309" s="368"/>
      <c r="AC309" s="368"/>
      <c r="AD309" s="368"/>
      <c r="AE309" s="368"/>
      <c r="AF309" s="368"/>
      <c r="AG309" s="368"/>
      <c r="AH309" s="368"/>
      <c r="AI309" s="368"/>
      <c r="AJ309" s="368"/>
      <c r="AK309" s="368"/>
      <c r="AL309" s="368"/>
      <c r="AM309" s="368"/>
    </row>
    <row r="310" spans="1:39" s="90" customFormat="1" ht="18" customHeight="1" x14ac:dyDescent="0.3">
      <c r="A310" s="432"/>
      <c r="B310" s="423"/>
      <c r="C310" s="12"/>
      <c r="D310" s="156"/>
      <c r="E310" s="31" t="s">
        <v>48</v>
      </c>
      <c r="F310" s="23" t="s">
        <v>49</v>
      </c>
      <c r="G310" s="374" t="s">
        <v>521</v>
      </c>
      <c r="H310" s="133">
        <v>65</v>
      </c>
      <c r="I310" s="156"/>
      <c r="J310" s="133"/>
      <c r="K310" s="330" t="s">
        <v>218</v>
      </c>
      <c r="L310" s="330" t="s">
        <v>218</v>
      </c>
      <c r="M310" s="24">
        <v>8628</v>
      </c>
      <c r="N310" s="330">
        <v>8920</v>
      </c>
      <c r="O310" s="368">
        <v>934</v>
      </c>
      <c r="P310" s="368" t="s">
        <v>515</v>
      </c>
      <c r="Q310" s="368">
        <v>718</v>
      </c>
      <c r="R310" s="368" t="s">
        <v>515</v>
      </c>
      <c r="S310" s="368">
        <v>666</v>
      </c>
      <c r="T310" s="368" t="s">
        <v>515</v>
      </c>
      <c r="U310" s="368">
        <v>601</v>
      </c>
      <c r="V310" s="368" t="s">
        <v>515</v>
      </c>
      <c r="W310" s="368">
        <v>365</v>
      </c>
      <c r="X310" s="368" t="s">
        <v>515</v>
      </c>
      <c r="Y310" s="368">
        <v>454</v>
      </c>
      <c r="Z310" s="368" t="s">
        <v>515</v>
      </c>
      <c r="AA310" s="368">
        <v>456</v>
      </c>
      <c r="AB310" s="368" t="s">
        <v>515</v>
      </c>
      <c r="AC310" s="368">
        <v>409</v>
      </c>
      <c r="AD310" s="368" t="s">
        <v>515</v>
      </c>
      <c r="AE310" s="368">
        <v>538</v>
      </c>
      <c r="AF310" s="368" t="s">
        <v>515</v>
      </c>
      <c r="AG310" s="368">
        <v>608</v>
      </c>
      <c r="AH310" s="368" t="s">
        <v>515</v>
      </c>
      <c r="AI310" s="368">
        <v>705</v>
      </c>
      <c r="AJ310" s="368" t="s">
        <v>515</v>
      </c>
      <c r="AK310" s="368">
        <v>730</v>
      </c>
      <c r="AL310" s="368" t="s">
        <v>515</v>
      </c>
      <c r="AM310" s="368">
        <f>SUM(O310:AK310)</f>
        <v>7184</v>
      </c>
    </row>
    <row r="311" spans="1:39" s="90" customFormat="1" ht="18" customHeight="1" x14ac:dyDescent="0.3">
      <c r="A311" s="431">
        <v>151</v>
      </c>
      <c r="B311" s="422" t="s">
        <v>729</v>
      </c>
      <c r="C311" s="11" t="s">
        <v>512</v>
      </c>
      <c r="D311" s="156" t="s">
        <v>569</v>
      </c>
      <c r="E311" s="31" t="s">
        <v>364</v>
      </c>
      <c r="F311" s="23" t="s">
        <v>49</v>
      </c>
      <c r="G311" s="374"/>
      <c r="H311" s="133"/>
      <c r="I311" s="156"/>
      <c r="J311" s="133"/>
      <c r="K311" s="330" t="s">
        <v>218</v>
      </c>
      <c r="L311" s="330" t="s">
        <v>218</v>
      </c>
      <c r="M311" s="24">
        <v>10843</v>
      </c>
      <c r="N311" s="330">
        <v>10701</v>
      </c>
      <c r="O311" s="368">
        <v>949</v>
      </c>
      <c r="P311" s="368" t="s">
        <v>515</v>
      </c>
      <c r="Q311" s="368">
        <v>906</v>
      </c>
      <c r="R311" s="368" t="s">
        <v>515</v>
      </c>
      <c r="S311" s="368">
        <v>731</v>
      </c>
      <c r="T311" s="368" t="s">
        <v>515</v>
      </c>
      <c r="U311" s="368">
        <v>931</v>
      </c>
      <c r="V311" s="368" t="s">
        <v>515</v>
      </c>
      <c r="W311" s="368">
        <v>851</v>
      </c>
      <c r="X311" s="368" t="s">
        <v>515</v>
      </c>
      <c r="Y311" s="368">
        <v>918</v>
      </c>
      <c r="Z311" s="368" t="s">
        <v>515</v>
      </c>
      <c r="AA311" s="368">
        <v>855</v>
      </c>
      <c r="AB311" s="368" t="s">
        <v>515</v>
      </c>
      <c r="AC311" s="368">
        <v>695</v>
      </c>
      <c r="AD311" s="368" t="s">
        <v>515</v>
      </c>
      <c r="AE311" s="368">
        <v>863</v>
      </c>
      <c r="AF311" s="368" t="s">
        <v>515</v>
      </c>
      <c r="AG311" s="368">
        <v>1467</v>
      </c>
      <c r="AH311" s="368" t="s">
        <v>515</v>
      </c>
      <c r="AI311" s="368">
        <v>1377</v>
      </c>
      <c r="AJ311" s="368" t="s">
        <v>515</v>
      </c>
      <c r="AK311" s="368">
        <v>1384</v>
      </c>
      <c r="AL311" s="368" t="s">
        <v>515</v>
      </c>
      <c r="AM311" s="368">
        <f>SUM(O311:AK311)</f>
        <v>11927</v>
      </c>
    </row>
    <row r="312" spans="1:39" s="90" customFormat="1" ht="18" customHeight="1" x14ac:dyDescent="0.3">
      <c r="A312" s="432"/>
      <c r="B312" s="423"/>
      <c r="C312" s="12"/>
      <c r="D312" s="156"/>
      <c r="E312" s="31" t="s">
        <v>48</v>
      </c>
      <c r="F312" s="23" t="s">
        <v>49</v>
      </c>
      <c r="G312" s="374" t="s">
        <v>519</v>
      </c>
      <c r="H312" s="133">
        <v>324</v>
      </c>
      <c r="I312" s="156"/>
      <c r="J312" s="133"/>
      <c r="K312" s="330" t="s">
        <v>218</v>
      </c>
      <c r="L312" s="330" t="s">
        <v>218</v>
      </c>
      <c r="M312" s="24">
        <v>25800</v>
      </c>
      <c r="N312" s="330">
        <v>24551</v>
      </c>
      <c r="O312" s="368">
        <v>3901</v>
      </c>
      <c r="P312" s="368" t="s">
        <v>515</v>
      </c>
      <c r="Q312" s="368">
        <v>3601</v>
      </c>
      <c r="R312" s="368" t="s">
        <v>515</v>
      </c>
      <c r="S312" s="368">
        <v>2183</v>
      </c>
      <c r="T312" s="368" t="s">
        <v>515</v>
      </c>
      <c r="U312" s="368">
        <v>2171</v>
      </c>
      <c r="V312" s="368" t="s">
        <v>515</v>
      </c>
      <c r="W312" s="368">
        <v>1480</v>
      </c>
      <c r="X312" s="368" t="s">
        <v>515</v>
      </c>
      <c r="Y312" s="368">
        <v>1235</v>
      </c>
      <c r="Z312" s="368" t="s">
        <v>515</v>
      </c>
      <c r="AA312" s="368">
        <v>967</v>
      </c>
      <c r="AB312" s="368" t="s">
        <v>515</v>
      </c>
      <c r="AC312" s="368">
        <v>688</v>
      </c>
      <c r="AD312" s="368" t="s">
        <v>515</v>
      </c>
      <c r="AE312" s="368">
        <v>614</v>
      </c>
      <c r="AF312" s="368" t="s">
        <v>515</v>
      </c>
      <c r="AG312" s="368">
        <v>1217</v>
      </c>
      <c r="AH312" s="368" t="s">
        <v>515</v>
      </c>
      <c r="AI312" s="368">
        <v>1385</v>
      </c>
      <c r="AJ312" s="368" t="s">
        <v>515</v>
      </c>
      <c r="AK312" s="368">
        <v>1477</v>
      </c>
      <c r="AL312" s="368" t="s">
        <v>515</v>
      </c>
      <c r="AM312" s="368">
        <f>SUM(O312:AK312)</f>
        <v>20919</v>
      </c>
    </row>
    <row r="313" spans="1:39" s="90" customFormat="1" ht="18" customHeight="1" x14ac:dyDescent="0.3">
      <c r="A313" s="431">
        <v>152</v>
      </c>
      <c r="B313" s="422" t="s">
        <v>730</v>
      </c>
      <c r="C313" s="11" t="s">
        <v>512</v>
      </c>
      <c r="D313" s="156" t="s">
        <v>516</v>
      </c>
      <c r="E313" s="31" t="s">
        <v>364</v>
      </c>
      <c r="F313" s="23" t="s">
        <v>49</v>
      </c>
      <c r="G313" s="374"/>
      <c r="H313" s="133"/>
      <c r="I313" s="156"/>
      <c r="J313" s="133"/>
      <c r="K313" s="330"/>
      <c r="L313" s="330"/>
      <c r="M313" s="24"/>
      <c r="N313" s="330"/>
      <c r="O313" s="368"/>
      <c r="P313" s="368"/>
      <c r="Q313" s="368"/>
      <c r="R313" s="368"/>
      <c r="S313" s="368"/>
      <c r="T313" s="368"/>
      <c r="U313" s="368"/>
      <c r="V313" s="368"/>
      <c r="W313" s="368"/>
      <c r="X313" s="368"/>
      <c r="Y313" s="368"/>
      <c r="Z313" s="368"/>
      <c r="AA313" s="368"/>
      <c r="AB313" s="368"/>
      <c r="AC313" s="368"/>
      <c r="AD313" s="368"/>
      <c r="AE313" s="368"/>
      <c r="AF313" s="368"/>
      <c r="AG313" s="368"/>
      <c r="AH313" s="368"/>
      <c r="AI313" s="368"/>
      <c r="AJ313" s="368"/>
      <c r="AK313" s="368"/>
      <c r="AL313" s="368"/>
      <c r="AM313" s="368"/>
    </row>
    <row r="314" spans="1:39" s="90" customFormat="1" ht="18" customHeight="1" x14ac:dyDescent="0.3">
      <c r="A314" s="432"/>
      <c r="B314" s="423"/>
      <c r="C314" s="12"/>
      <c r="D314" s="156"/>
      <c r="E314" s="31" t="s">
        <v>48</v>
      </c>
      <c r="F314" s="23" t="s">
        <v>49</v>
      </c>
      <c r="G314" s="374" t="s">
        <v>519</v>
      </c>
      <c r="H314" s="133">
        <v>91</v>
      </c>
      <c r="I314" s="156" t="s">
        <v>524</v>
      </c>
      <c r="J314" s="133">
        <v>7</v>
      </c>
      <c r="K314" s="330" t="s">
        <v>218</v>
      </c>
      <c r="L314" s="330" t="s">
        <v>218</v>
      </c>
      <c r="M314" s="24">
        <v>0</v>
      </c>
      <c r="N314" s="330">
        <v>6791</v>
      </c>
      <c r="O314" s="368">
        <v>552</v>
      </c>
      <c r="P314" s="368" t="s">
        <v>515</v>
      </c>
      <c r="Q314" s="368">
        <v>565</v>
      </c>
      <c r="R314" s="368" t="s">
        <v>515</v>
      </c>
      <c r="S314" s="368">
        <v>536</v>
      </c>
      <c r="T314" s="368" t="s">
        <v>515</v>
      </c>
      <c r="U314" s="368">
        <v>800</v>
      </c>
      <c r="V314" s="368" t="s">
        <v>515</v>
      </c>
      <c r="W314" s="368">
        <v>569</v>
      </c>
      <c r="X314" s="368" t="s">
        <v>515</v>
      </c>
      <c r="Y314" s="368">
        <v>427</v>
      </c>
      <c r="Z314" s="368" t="s">
        <v>515</v>
      </c>
      <c r="AA314" s="368">
        <v>413</v>
      </c>
      <c r="AB314" s="368" t="s">
        <v>515</v>
      </c>
      <c r="AC314" s="368">
        <v>515</v>
      </c>
      <c r="AD314" s="368" t="s">
        <v>515</v>
      </c>
      <c r="AE314" s="368">
        <v>705</v>
      </c>
      <c r="AF314" s="368" t="s">
        <v>515</v>
      </c>
      <c r="AG314" s="368">
        <v>838</v>
      </c>
      <c r="AH314" s="368" t="s">
        <v>515</v>
      </c>
      <c r="AI314" s="368">
        <v>1051</v>
      </c>
      <c r="AJ314" s="368" t="s">
        <v>515</v>
      </c>
      <c r="AK314" s="368">
        <v>1060</v>
      </c>
      <c r="AL314" s="368" t="s">
        <v>515</v>
      </c>
      <c r="AM314" s="368">
        <f>SUM(O314:AK314)</f>
        <v>8031</v>
      </c>
    </row>
    <row r="315" spans="1:39" s="90" customFormat="1" ht="18" customHeight="1" x14ac:dyDescent="0.3">
      <c r="A315" s="431">
        <v>153</v>
      </c>
      <c r="B315" s="422" t="s">
        <v>731</v>
      </c>
      <c r="C315" s="11" t="s">
        <v>512</v>
      </c>
      <c r="D315" s="156" t="s">
        <v>516</v>
      </c>
      <c r="E315" s="31" t="s">
        <v>364</v>
      </c>
      <c r="F315" s="23" t="s">
        <v>49</v>
      </c>
      <c r="G315" s="374"/>
      <c r="H315" s="133"/>
      <c r="I315" s="156"/>
      <c r="J315" s="133"/>
      <c r="K315" s="330"/>
      <c r="L315" s="330"/>
      <c r="M315" s="24"/>
      <c r="N315" s="330"/>
      <c r="O315" s="368"/>
      <c r="P315" s="368"/>
      <c r="Q315" s="368"/>
      <c r="R315" s="368"/>
      <c r="S315" s="368"/>
      <c r="T315" s="368"/>
      <c r="U315" s="368"/>
      <c r="V315" s="368"/>
      <c r="W315" s="368"/>
      <c r="X315" s="368"/>
      <c r="Y315" s="368"/>
      <c r="Z315" s="368"/>
      <c r="AA315" s="368"/>
      <c r="AB315" s="368"/>
      <c r="AC315" s="368"/>
      <c r="AD315" s="368"/>
      <c r="AE315" s="368"/>
      <c r="AF315" s="368"/>
      <c r="AG315" s="368"/>
      <c r="AH315" s="368"/>
      <c r="AI315" s="368"/>
      <c r="AJ315" s="368"/>
      <c r="AK315" s="368"/>
      <c r="AL315" s="368"/>
      <c r="AM315" s="368"/>
    </row>
    <row r="316" spans="1:39" s="90" customFormat="1" ht="18" customHeight="1" x14ac:dyDescent="0.3">
      <c r="A316" s="432"/>
      <c r="B316" s="423"/>
      <c r="C316" s="12"/>
      <c r="D316" s="156"/>
      <c r="E316" s="31" t="s">
        <v>48</v>
      </c>
      <c r="F316" s="23" t="s">
        <v>49</v>
      </c>
      <c r="G316" s="374" t="s">
        <v>519</v>
      </c>
      <c r="H316" s="133">
        <v>91</v>
      </c>
      <c r="I316" s="156" t="s">
        <v>524</v>
      </c>
      <c r="J316" s="133">
        <v>7</v>
      </c>
      <c r="K316" s="330" t="s">
        <v>218</v>
      </c>
      <c r="L316" s="330" t="s">
        <v>218</v>
      </c>
      <c r="M316" s="24">
        <v>0</v>
      </c>
      <c r="N316" s="330">
        <v>6603</v>
      </c>
      <c r="O316" s="368">
        <v>875</v>
      </c>
      <c r="P316" s="368" t="s">
        <v>515</v>
      </c>
      <c r="Q316" s="368">
        <v>948</v>
      </c>
      <c r="R316" s="368" t="s">
        <v>515</v>
      </c>
      <c r="S316" s="368">
        <v>583</v>
      </c>
      <c r="T316" s="368" t="s">
        <v>515</v>
      </c>
      <c r="U316" s="368">
        <v>725</v>
      </c>
      <c r="V316" s="368" t="s">
        <v>515</v>
      </c>
      <c r="W316" s="368">
        <v>579</v>
      </c>
      <c r="X316" s="368" t="s">
        <v>515</v>
      </c>
      <c r="Y316" s="368">
        <v>381</v>
      </c>
      <c r="Z316" s="368" t="s">
        <v>515</v>
      </c>
      <c r="AA316" s="368">
        <v>389</v>
      </c>
      <c r="AB316" s="368" t="s">
        <v>515</v>
      </c>
      <c r="AC316" s="368">
        <v>289</v>
      </c>
      <c r="AD316" s="368" t="s">
        <v>515</v>
      </c>
      <c r="AE316" s="368">
        <v>377</v>
      </c>
      <c r="AF316" s="368" t="s">
        <v>515</v>
      </c>
      <c r="AG316" s="368">
        <v>396</v>
      </c>
      <c r="AH316" s="368" t="s">
        <v>515</v>
      </c>
      <c r="AI316" s="368">
        <v>621</v>
      </c>
      <c r="AJ316" s="368" t="s">
        <v>515</v>
      </c>
      <c r="AK316" s="368">
        <v>586</v>
      </c>
      <c r="AL316" s="368" t="s">
        <v>515</v>
      </c>
      <c r="AM316" s="368">
        <f>SUM(O316:AK316)</f>
        <v>6749</v>
      </c>
    </row>
    <row r="317" spans="1:39" s="90" customFormat="1" ht="18" customHeight="1" x14ac:dyDescent="0.3">
      <c r="A317" s="431">
        <v>154</v>
      </c>
      <c r="B317" s="422" t="s">
        <v>732</v>
      </c>
      <c r="C317" s="11" t="s">
        <v>512</v>
      </c>
      <c r="D317" s="156" t="s">
        <v>516</v>
      </c>
      <c r="E317" s="31" t="s">
        <v>364</v>
      </c>
      <c r="F317" s="23" t="s">
        <v>49</v>
      </c>
      <c r="G317" s="374"/>
      <c r="H317" s="133"/>
      <c r="I317" s="156"/>
      <c r="J317" s="133"/>
      <c r="K317" s="330"/>
      <c r="L317" s="330"/>
      <c r="M317" s="24"/>
      <c r="N317" s="330"/>
      <c r="O317" s="368"/>
      <c r="P317" s="368"/>
      <c r="Q317" s="368"/>
      <c r="R317" s="368"/>
      <c r="S317" s="368"/>
      <c r="T317" s="368"/>
      <c r="U317" s="368"/>
      <c r="V317" s="368"/>
      <c r="W317" s="368"/>
      <c r="X317" s="368"/>
      <c r="Y317" s="368"/>
      <c r="Z317" s="368"/>
      <c r="AA317" s="368"/>
      <c r="AB317" s="368"/>
      <c r="AC317" s="368"/>
      <c r="AD317" s="368"/>
      <c r="AE317" s="368"/>
      <c r="AF317" s="368"/>
      <c r="AG317" s="368"/>
      <c r="AH317" s="368"/>
      <c r="AI317" s="368"/>
      <c r="AJ317" s="368"/>
      <c r="AK317" s="368"/>
      <c r="AL317" s="368"/>
      <c r="AM317" s="368"/>
    </row>
    <row r="318" spans="1:39" s="90" customFormat="1" ht="18" customHeight="1" x14ac:dyDescent="0.3">
      <c r="A318" s="432"/>
      <c r="B318" s="423"/>
      <c r="C318" s="12"/>
      <c r="D318" s="156"/>
      <c r="E318" s="31" t="s">
        <v>48</v>
      </c>
      <c r="F318" s="23" t="s">
        <v>49</v>
      </c>
      <c r="G318" s="374" t="s">
        <v>519</v>
      </c>
      <c r="H318" s="133">
        <v>91</v>
      </c>
      <c r="I318" s="156" t="s">
        <v>524</v>
      </c>
      <c r="J318" s="133">
        <v>5</v>
      </c>
      <c r="K318" s="330" t="s">
        <v>218</v>
      </c>
      <c r="L318" s="330" t="s">
        <v>218</v>
      </c>
      <c r="M318" s="24">
        <v>0</v>
      </c>
      <c r="N318" s="330">
        <v>7513</v>
      </c>
      <c r="O318" s="368">
        <v>996</v>
      </c>
      <c r="P318" s="368" t="s">
        <v>515</v>
      </c>
      <c r="Q318" s="368">
        <v>888</v>
      </c>
      <c r="R318" s="368" t="s">
        <v>515</v>
      </c>
      <c r="S318" s="368">
        <v>492</v>
      </c>
      <c r="T318" s="368" t="s">
        <v>515</v>
      </c>
      <c r="U318" s="368">
        <v>558</v>
      </c>
      <c r="V318" s="368" t="s">
        <v>515</v>
      </c>
      <c r="W318" s="368">
        <v>332</v>
      </c>
      <c r="X318" s="368" t="s">
        <v>515</v>
      </c>
      <c r="Y318" s="368">
        <v>318</v>
      </c>
      <c r="Z318" s="368" t="s">
        <v>515</v>
      </c>
      <c r="AA318" s="368">
        <v>225</v>
      </c>
      <c r="AB318" s="368" t="s">
        <v>515</v>
      </c>
      <c r="AC318" s="368">
        <v>253</v>
      </c>
      <c r="AD318" s="368" t="s">
        <v>515</v>
      </c>
      <c r="AE318" s="368">
        <v>400</v>
      </c>
      <c r="AF318" s="368" t="s">
        <v>515</v>
      </c>
      <c r="AG318" s="368">
        <v>407</v>
      </c>
      <c r="AH318" s="368" t="s">
        <v>515</v>
      </c>
      <c r="AI318" s="368">
        <v>472</v>
      </c>
      <c r="AJ318" s="368" t="s">
        <v>515</v>
      </c>
      <c r="AK318" s="368">
        <v>507</v>
      </c>
      <c r="AL318" s="368" t="s">
        <v>515</v>
      </c>
      <c r="AM318" s="368">
        <f>SUM(O318:AK318)</f>
        <v>5848</v>
      </c>
    </row>
    <row r="319" spans="1:39" s="90" customFormat="1" ht="18" customHeight="1" x14ac:dyDescent="0.3">
      <c r="A319" s="431">
        <v>155</v>
      </c>
      <c r="B319" s="422" t="s">
        <v>733</v>
      </c>
      <c r="C319" s="11" t="s">
        <v>512</v>
      </c>
      <c r="D319" s="156" t="s">
        <v>516</v>
      </c>
      <c r="E319" s="31" t="s">
        <v>364</v>
      </c>
      <c r="F319" s="23" t="s">
        <v>49</v>
      </c>
      <c r="G319" s="374"/>
      <c r="H319" s="133"/>
      <c r="I319" s="156"/>
      <c r="J319" s="133"/>
      <c r="K319" s="330"/>
      <c r="L319" s="330"/>
      <c r="M319" s="24"/>
      <c r="N319" s="330"/>
      <c r="O319" s="368"/>
      <c r="P319" s="368"/>
      <c r="Q319" s="368"/>
      <c r="R319" s="368"/>
      <c r="S319" s="368"/>
      <c r="T319" s="368"/>
      <c r="U319" s="368"/>
      <c r="V319" s="368"/>
      <c r="W319" s="368"/>
      <c r="X319" s="368"/>
      <c r="Y319" s="368"/>
      <c r="Z319" s="368"/>
      <c r="AA319" s="368"/>
      <c r="AB319" s="368"/>
      <c r="AC319" s="368"/>
      <c r="AD319" s="368"/>
      <c r="AE319" s="368"/>
      <c r="AF319" s="368"/>
      <c r="AG319" s="368"/>
      <c r="AH319" s="368"/>
      <c r="AI319" s="368"/>
      <c r="AJ319" s="368"/>
      <c r="AK319" s="368"/>
      <c r="AL319" s="368"/>
      <c r="AM319" s="368"/>
    </row>
    <row r="320" spans="1:39" s="90" customFormat="1" ht="18" customHeight="1" x14ac:dyDescent="0.3">
      <c r="A320" s="432"/>
      <c r="B320" s="423"/>
      <c r="C320" s="12"/>
      <c r="D320" s="156"/>
      <c r="E320" s="31" t="s">
        <v>48</v>
      </c>
      <c r="F320" s="23" t="s">
        <v>49</v>
      </c>
      <c r="G320" s="374" t="s">
        <v>519</v>
      </c>
      <c r="H320" s="133">
        <v>91</v>
      </c>
      <c r="I320" s="156" t="s">
        <v>524</v>
      </c>
      <c r="J320" s="133">
        <v>7</v>
      </c>
      <c r="K320" s="330" t="s">
        <v>218</v>
      </c>
      <c r="L320" s="330" t="s">
        <v>218</v>
      </c>
      <c r="M320" s="24">
        <v>0</v>
      </c>
      <c r="N320" s="330">
        <v>11631</v>
      </c>
      <c r="O320" s="368">
        <v>1247</v>
      </c>
      <c r="P320" s="368" t="s">
        <v>515</v>
      </c>
      <c r="Q320" s="368">
        <v>1284</v>
      </c>
      <c r="R320" s="368" t="s">
        <v>515</v>
      </c>
      <c r="S320" s="368">
        <v>1137</v>
      </c>
      <c r="T320" s="368" t="s">
        <v>515</v>
      </c>
      <c r="U320" s="368">
        <v>516</v>
      </c>
      <c r="V320" s="368" t="s">
        <v>515</v>
      </c>
      <c r="W320" s="368">
        <v>573</v>
      </c>
      <c r="X320" s="368" t="s">
        <v>515</v>
      </c>
      <c r="Y320" s="368">
        <v>534</v>
      </c>
      <c r="Z320" s="368" t="s">
        <v>515</v>
      </c>
      <c r="AA320" s="368">
        <v>473</v>
      </c>
      <c r="AB320" s="368" t="s">
        <v>515</v>
      </c>
      <c r="AC320" s="368">
        <v>444</v>
      </c>
      <c r="AD320" s="368" t="s">
        <v>515</v>
      </c>
      <c r="AE320" s="368">
        <v>509</v>
      </c>
      <c r="AF320" s="368" t="s">
        <v>515</v>
      </c>
      <c r="AG320" s="368">
        <v>517</v>
      </c>
      <c r="AH320" s="368" t="s">
        <v>515</v>
      </c>
      <c r="AI320" s="368">
        <v>538</v>
      </c>
      <c r="AJ320" s="368" t="s">
        <v>515</v>
      </c>
      <c r="AK320" s="368">
        <v>621</v>
      </c>
      <c r="AL320" s="368" t="s">
        <v>515</v>
      </c>
      <c r="AM320" s="368">
        <f>SUM(O320:AK320)</f>
        <v>8393</v>
      </c>
    </row>
    <row r="321" spans="1:39" s="90" customFormat="1" ht="18" customHeight="1" x14ac:dyDescent="0.3">
      <c r="A321" s="431">
        <v>156</v>
      </c>
      <c r="B321" s="422" t="s">
        <v>734</v>
      </c>
      <c r="C321" s="11" t="s">
        <v>512</v>
      </c>
      <c r="D321" s="156" t="s">
        <v>516</v>
      </c>
      <c r="E321" s="31" t="s">
        <v>364</v>
      </c>
      <c r="F321" s="23" t="s">
        <v>49</v>
      </c>
      <c r="G321" s="374"/>
      <c r="H321" s="133"/>
      <c r="I321" s="156"/>
      <c r="J321" s="133"/>
      <c r="K321" s="330" t="s">
        <v>218</v>
      </c>
      <c r="L321" s="330" t="s">
        <v>218</v>
      </c>
      <c r="M321" s="24">
        <v>23494</v>
      </c>
      <c r="N321" s="330">
        <v>19491</v>
      </c>
      <c r="O321" s="368">
        <v>1706</v>
      </c>
      <c r="P321" s="368" t="s">
        <v>515</v>
      </c>
      <c r="Q321" s="368">
        <v>1617</v>
      </c>
      <c r="R321" s="368" t="s">
        <v>515</v>
      </c>
      <c r="S321" s="368">
        <v>1534</v>
      </c>
      <c r="T321" s="368" t="s">
        <v>515</v>
      </c>
      <c r="U321" s="368">
        <v>1562</v>
      </c>
      <c r="V321" s="368" t="s">
        <v>515</v>
      </c>
      <c r="W321" s="368">
        <v>1311</v>
      </c>
      <c r="X321" s="368" t="s">
        <v>515</v>
      </c>
      <c r="Y321" s="368">
        <v>1378</v>
      </c>
      <c r="Z321" s="368" t="s">
        <v>515</v>
      </c>
      <c r="AA321" s="368">
        <v>1369</v>
      </c>
      <c r="AB321" s="368" t="s">
        <v>515</v>
      </c>
      <c r="AC321" s="368">
        <v>1250</v>
      </c>
      <c r="AD321" s="368" t="s">
        <v>515</v>
      </c>
      <c r="AE321" s="368">
        <v>1470</v>
      </c>
      <c r="AF321" s="368" t="s">
        <v>515</v>
      </c>
      <c r="AG321" s="368">
        <v>1339</v>
      </c>
      <c r="AH321" s="368" t="s">
        <v>515</v>
      </c>
      <c r="AI321" s="368">
        <v>1317</v>
      </c>
      <c r="AJ321" s="368" t="s">
        <v>515</v>
      </c>
      <c r="AK321" s="368">
        <v>1278</v>
      </c>
      <c r="AL321" s="368" t="s">
        <v>515</v>
      </c>
      <c r="AM321" s="368">
        <f>SUM(O321:AK321)</f>
        <v>17131</v>
      </c>
    </row>
    <row r="322" spans="1:39" s="90" customFormat="1" ht="18" customHeight="1" x14ac:dyDescent="0.3">
      <c r="A322" s="432"/>
      <c r="B322" s="423"/>
      <c r="C322" s="12"/>
      <c r="D322" s="156"/>
      <c r="E322" s="31" t="s">
        <v>48</v>
      </c>
      <c r="F322" s="23" t="s">
        <v>49</v>
      </c>
      <c r="G322" s="374" t="s">
        <v>549</v>
      </c>
      <c r="H322" s="133">
        <v>210</v>
      </c>
      <c r="I322" s="156"/>
      <c r="J322" s="133"/>
      <c r="K322" s="330" t="s">
        <v>218</v>
      </c>
      <c r="L322" s="330" t="s">
        <v>218</v>
      </c>
      <c r="M322" s="24">
        <v>15896</v>
      </c>
      <c r="N322" s="330">
        <v>18236</v>
      </c>
      <c r="O322" s="368">
        <v>2233</v>
      </c>
      <c r="P322" s="368" t="s">
        <v>515</v>
      </c>
      <c r="Q322" s="368">
        <v>1906</v>
      </c>
      <c r="R322" s="368" t="s">
        <v>515</v>
      </c>
      <c r="S322" s="368">
        <v>1638</v>
      </c>
      <c r="T322" s="368" t="s">
        <v>515</v>
      </c>
      <c r="U322" s="368">
        <v>1188</v>
      </c>
      <c r="V322" s="368" t="s">
        <v>515</v>
      </c>
      <c r="W322" s="368">
        <v>710</v>
      </c>
      <c r="X322" s="368" t="s">
        <v>515</v>
      </c>
      <c r="Y322" s="368">
        <v>522</v>
      </c>
      <c r="Z322" s="368" t="s">
        <v>515</v>
      </c>
      <c r="AA322" s="368">
        <v>619</v>
      </c>
      <c r="AB322" s="368" t="s">
        <v>515</v>
      </c>
      <c r="AC322" s="368">
        <v>832</v>
      </c>
      <c r="AD322" s="368" t="s">
        <v>515</v>
      </c>
      <c r="AE322" s="368">
        <v>1188</v>
      </c>
      <c r="AF322" s="368" t="s">
        <v>515</v>
      </c>
      <c r="AG322" s="368">
        <v>1288</v>
      </c>
      <c r="AH322" s="368" t="s">
        <v>515</v>
      </c>
      <c r="AI322" s="368">
        <v>1525</v>
      </c>
      <c r="AJ322" s="368" t="s">
        <v>515</v>
      </c>
      <c r="AK322" s="368">
        <v>1828</v>
      </c>
      <c r="AL322" s="368" t="s">
        <v>515</v>
      </c>
      <c r="AM322" s="368">
        <f>SUM(O322:AK322)</f>
        <v>15477</v>
      </c>
    </row>
    <row r="323" spans="1:39" s="90" customFormat="1" ht="18" customHeight="1" x14ac:dyDescent="0.3">
      <c r="A323" s="431">
        <v>157</v>
      </c>
      <c r="B323" s="422" t="s">
        <v>735</v>
      </c>
      <c r="C323" s="11" t="s">
        <v>512</v>
      </c>
      <c r="D323" s="156" t="s">
        <v>516</v>
      </c>
      <c r="E323" s="31" t="s">
        <v>364</v>
      </c>
      <c r="F323" s="23" t="s">
        <v>49</v>
      </c>
      <c r="G323" s="374"/>
      <c r="H323" s="133"/>
      <c r="I323" s="156"/>
      <c r="J323" s="133"/>
      <c r="K323" s="330" t="s">
        <v>218</v>
      </c>
      <c r="L323" s="330" t="s">
        <v>218</v>
      </c>
      <c r="M323" s="24">
        <v>12994</v>
      </c>
      <c r="N323" s="330">
        <v>12850</v>
      </c>
      <c r="O323" s="368">
        <v>1167</v>
      </c>
      <c r="P323" s="368" t="s">
        <v>515</v>
      </c>
      <c r="Q323" s="368">
        <v>1108</v>
      </c>
      <c r="R323" s="368" t="s">
        <v>515</v>
      </c>
      <c r="S323" s="368">
        <v>850</v>
      </c>
      <c r="T323" s="368" t="s">
        <v>515</v>
      </c>
      <c r="U323" s="368">
        <v>1076</v>
      </c>
      <c r="V323" s="368" t="s">
        <v>515</v>
      </c>
      <c r="W323" s="368">
        <v>986</v>
      </c>
      <c r="X323" s="368" t="s">
        <v>515</v>
      </c>
      <c r="Y323" s="368">
        <v>1118</v>
      </c>
      <c r="Z323" s="368" t="s">
        <v>515</v>
      </c>
      <c r="AA323" s="368">
        <v>902</v>
      </c>
      <c r="AB323" s="368" t="s">
        <v>515</v>
      </c>
      <c r="AC323" s="368">
        <v>847</v>
      </c>
      <c r="AD323" s="368" t="s">
        <v>515</v>
      </c>
      <c r="AE323" s="368">
        <v>1056</v>
      </c>
      <c r="AF323" s="368" t="s">
        <v>515</v>
      </c>
      <c r="AG323" s="368">
        <v>960</v>
      </c>
      <c r="AH323" s="368" t="s">
        <v>515</v>
      </c>
      <c r="AI323" s="368">
        <v>922</v>
      </c>
      <c r="AJ323" s="368" t="s">
        <v>515</v>
      </c>
      <c r="AK323" s="368">
        <v>957</v>
      </c>
      <c r="AL323" s="368" t="s">
        <v>515</v>
      </c>
      <c r="AM323" s="368">
        <f>SUM(O323:AK323)</f>
        <v>11949</v>
      </c>
    </row>
    <row r="324" spans="1:39" s="90" customFormat="1" ht="18" customHeight="1" x14ac:dyDescent="0.3">
      <c r="A324" s="432"/>
      <c r="B324" s="423"/>
      <c r="C324" s="12"/>
      <c r="D324" s="156"/>
      <c r="E324" s="31" t="s">
        <v>48</v>
      </c>
      <c r="F324" s="23" t="s">
        <v>49</v>
      </c>
      <c r="G324" s="374" t="s">
        <v>531</v>
      </c>
      <c r="H324" s="133">
        <v>186</v>
      </c>
      <c r="I324" s="156"/>
      <c r="J324" s="133"/>
      <c r="K324" s="330" t="s">
        <v>218</v>
      </c>
      <c r="L324" s="330" t="s">
        <v>218</v>
      </c>
      <c r="M324" s="24">
        <v>12478</v>
      </c>
      <c r="N324" s="330">
        <v>19133</v>
      </c>
      <c r="O324" s="368">
        <v>2735</v>
      </c>
      <c r="P324" s="368" t="s">
        <v>515</v>
      </c>
      <c r="Q324" s="368">
        <v>2406</v>
      </c>
      <c r="R324" s="368" t="s">
        <v>515</v>
      </c>
      <c r="S324" s="368">
        <v>1421</v>
      </c>
      <c r="T324" s="368" t="s">
        <v>515</v>
      </c>
      <c r="U324" s="368">
        <v>1459</v>
      </c>
      <c r="V324" s="368" t="s">
        <v>515</v>
      </c>
      <c r="W324" s="368">
        <v>1185</v>
      </c>
      <c r="X324" s="368" t="s">
        <v>515</v>
      </c>
      <c r="Y324" s="368">
        <v>1431</v>
      </c>
      <c r="Z324" s="368" t="s">
        <v>515</v>
      </c>
      <c r="AA324" s="368">
        <v>1889</v>
      </c>
      <c r="AB324" s="368" t="s">
        <v>515</v>
      </c>
      <c r="AC324" s="368">
        <v>1396</v>
      </c>
      <c r="AD324" s="368" t="s">
        <v>515</v>
      </c>
      <c r="AE324" s="368">
        <v>1589</v>
      </c>
      <c r="AF324" s="368" t="s">
        <v>515</v>
      </c>
      <c r="AG324" s="368">
        <v>1758</v>
      </c>
      <c r="AH324" s="368" t="s">
        <v>515</v>
      </c>
      <c r="AI324" s="368">
        <v>1718</v>
      </c>
      <c r="AJ324" s="368" t="s">
        <v>515</v>
      </c>
      <c r="AK324" s="368">
        <v>1558</v>
      </c>
      <c r="AL324" s="368" t="s">
        <v>515</v>
      </c>
      <c r="AM324" s="368">
        <f>SUM(O324:AK324)</f>
        <v>20545</v>
      </c>
    </row>
    <row r="325" spans="1:39" s="90" customFormat="1" ht="18" customHeight="1" x14ac:dyDescent="0.3">
      <c r="A325" s="431">
        <v>158</v>
      </c>
      <c r="B325" s="422" t="s">
        <v>736</v>
      </c>
      <c r="C325" s="11" t="s">
        <v>512</v>
      </c>
      <c r="D325" s="156" t="s">
        <v>516</v>
      </c>
      <c r="E325" s="31" t="s">
        <v>364</v>
      </c>
      <c r="F325" s="23" t="s">
        <v>49</v>
      </c>
      <c r="G325" s="374"/>
      <c r="H325" s="133"/>
      <c r="I325" s="156"/>
      <c r="J325" s="133"/>
      <c r="K325" s="330"/>
      <c r="L325" s="330"/>
      <c r="M325" s="24"/>
      <c r="N325" s="330"/>
      <c r="O325" s="368"/>
      <c r="P325" s="368"/>
      <c r="Q325" s="368"/>
      <c r="R325" s="368"/>
      <c r="S325" s="368"/>
      <c r="T325" s="368"/>
      <c r="U325" s="368"/>
      <c r="V325" s="368"/>
      <c r="W325" s="368"/>
      <c r="X325" s="368"/>
      <c r="Y325" s="368"/>
      <c r="Z325" s="368"/>
      <c r="AA325" s="368"/>
      <c r="AB325" s="368"/>
      <c r="AC325" s="368"/>
      <c r="AD325" s="368"/>
      <c r="AE325" s="368"/>
      <c r="AF325" s="368"/>
      <c r="AG325" s="368"/>
      <c r="AH325" s="368"/>
      <c r="AI325" s="368"/>
      <c r="AJ325" s="368"/>
      <c r="AK325" s="368"/>
      <c r="AL325" s="368"/>
      <c r="AM325" s="368"/>
    </row>
    <row r="326" spans="1:39" s="90" customFormat="1" ht="18" customHeight="1" x14ac:dyDescent="0.3">
      <c r="A326" s="432"/>
      <c r="B326" s="423"/>
      <c r="C326" s="12"/>
      <c r="D326" s="156"/>
      <c r="E326" s="31" t="s">
        <v>48</v>
      </c>
      <c r="F326" s="23" t="s">
        <v>49</v>
      </c>
      <c r="G326" s="374" t="s">
        <v>519</v>
      </c>
      <c r="H326" s="133">
        <v>91</v>
      </c>
      <c r="I326" s="156" t="s">
        <v>524</v>
      </c>
      <c r="J326" s="133">
        <v>7</v>
      </c>
      <c r="K326" s="330" t="s">
        <v>218</v>
      </c>
      <c r="L326" s="330" t="s">
        <v>218</v>
      </c>
      <c r="M326" s="24">
        <v>0</v>
      </c>
      <c r="N326" s="330">
        <v>2498</v>
      </c>
      <c r="O326" s="368">
        <v>223</v>
      </c>
      <c r="P326" s="368" t="s">
        <v>515</v>
      </c>
      <c r="Q326" s="368">
        <v>272</v>
      </c>
      <c r="R326" s="368" t="s">
        <v>515</v>
      </c>
      <c r="S326" s="368">
        <v>670</v>
      </c>
      <c r="T326" s="368" t="s">
        <v>515</v>
      </c>
      <c r="U326" s="368">
        <v>668</v>
      </c>
      <c r="V326" s="368" t="s">
        <v>515</v>
      </c>
      <c r="W326" s="368">
        <v>560</v>
      </c>
      <c r="X326" s="368" t="s">
        <v>515</v>
      </c>
      <c r="Y326" s="368">
        <v>533</v>
      </c>
      <c r="Z326" s="368" t="s">
        <v>515</v>
      </c>
      <c r="AA326" s="368">
        <v>329</v>
      </c>
      <c r="AB326" s="368" t="s">
        <v>515</v>
      </c>
      <c r="AC326" s="368">
        <v>354</v>
      </c>
      <c r="AD326" s="368" t="s">
        <v>515</v>
      </c>
      <c r="AE326" s="368">
        <v>429</v>
      </c>
      <c r="AF326" s="368" t="s">
        <v>515</v>
      </c>
      <c r="AG326" s="368">
        <v>441</v>
      </c>
      <c r="AH326" s="368" t="s">
        <v>515</v>
      </c>
      <c r="AI326" s="368">
        <v>507</v>
      </c>
      <c r="AJ326" s="368" t="s">
        <v>515</v>
      </c>
      <c r="AK326" s="368">
        <v>516</v>
      </c>
      <c r="AL326" s="368" t="s">
        <v>515</v>
      </c>
      <c r="AM326" s="368">
        <f>SUM(O326:AK326)</f>
        <v>5502</v>
      </c>
    </row>
    <row r="327" spans="1:39" s="90" customFormat="1" ht="18" customHeight="1" x14ac:dyDescent="0.3">
      <c r="A327" s="431">
        <v>159</v>
      </c>
      <c r="B327" s="422" t="s">
        <v>737</v>
      </c>
      <c r="C327" s="11" t="s">
        <v>512</v>
      </c>
      <c r="D327" s="156" t="s">
        <v>516</v>
      </c>
      <c r="E327" s="31" t="s">
        <v>364</v>
      </c>
      <c r="F327" s="23" t="s">
        <v>49</v>
      </c>
      <c r="G327" s="374"/>
      <c r="H327" s="133"/>
      <c r="I327" s="156"/>
      <c r="J327" s="133"/>
      <c r="K327" s="330"/>
      <c r="L327" s="330"/>
      <c r="M327" s="24"/>
      <c r="N327" s="330"/>
      <c r="O327" s="368"/>
      <c r="P327" s="368"/>
      <c r="Q327" s="368"/>
      <c r="R327" s="368"/>
      <c r="S327" s="368"/>
      <c r="T327" s="368"/>
      <c r="U327" s="368"/>
      <c r="V327" s="368"/>
      <c r="W327" s="368"/>
      <c r="X327" s="368"/>
      <c r="Y327" s="368"/>
      <c r="Z327" s="368"/>
      <c r="AA327" s="368"/>
      <c r="AB327" s="368"/>
      <c r="AC327" s="368"/>
      <c r="AD327" s="368"/>
      <c r="AE327" s="368"/>
      <c r="AF327" s="368"/>
      <c r="AG327" s="368"/>
      <c r="AH327" s="368"/>
      <c r="AI327" s="368"/>
      <c r="AJ327" s="368"/>
      <c r="AK327" s="368"/>
      <c r="AL327" s="368"/>
      <c r="AM327" s="368"/>
    </row>
    <row r="328" spans="1:39" s="90" customFormat="1" ht="18" customHeight="1" x14ac:dyDescent="0.3">
      <c r="A328" s="432"/>
      <c r="B328" s="423"/>
      <c r="C328" s="12"/>
      <c r="D328" s="156"/>
      <c r="E328" s="31" t="s">
        <v>48</v>
      </c>
      <c r="F328" s="23" t="s">
        <v>49</v>
      </c>
      <c r="G328" s="374" t="s">
        <v>519</v>
      </c>
      <c r="H328" s="133">
        <v>91</v>
      </c>
      <c r="I328" s="156" t="s">
        <v>524</v>
      </c>
      <c r="J328" s="133">
        <v>7</v>
      </c>
      <c r="K328" s="330" t="s">
        <v>218</v>
      </c>
      <c r="L328" s="330" t="s">
        <v>218</v>
      </c>
      <c r="M328" s="24">
        <v>0</v>
      </c>
      <c r="N328" s="330">
        <v>6313</v>
      </c>
      <c r="O328" s="368">
        <v>815</v>
      </c>
      <c r="P328" s="368" t="s">
        <v>515</v>
      </c>
      <c r="Q328" s="368">
        <v>934</v>
      </c>
      <c r="R328" s="368" t="s">
        <v>515</v>
      </c>
      <c r="S328" s="368">
        <v>573</v>
      </c>
      <c r="T328" s="368" t="s">
        <v>515</v>
      </c>
      <c r="U328" s="368">
        <v>699</v>
      </c>
      <c r="V328" s="368" t="s">
        <v>515</v>
      </c>
      <c r="W328" s="368">
        <v>546</v>
      </c>
      <c r="X328" s="368" t="s">
        <v>515</v>
      </c>
      <c r="Y328" s="368">
        <v>368</v>
      </c>
      <c r="Z328" s="368" t="s">
        <v>515</v>
      </c>
      <c r="AA328" s="368">
        <v>359</v>
      </c>
      <c r="AB328" s="368" t="s">
        <v>515</v>
      </c>
      <c r="AC328" s="368">
        <v>356</v>
      </c>
      <c r="AD328" s="368" t="s">
        <v>515</v>
      </c>
      <c r="AE328" s="368">
        <v>409</v>
      </c>
      <c r="AF328" s="368" t="s">
        <v>515</v>
      </c>
      <c r="AG328" s="368">
        <v>627</v>
      </c>
      <c r="AH328" s="368" t="s">
        <v>515</v>
      </c>
      <c r="AI328" s="368">
        <v>818</v>
      </c>
      <c r="AJ328" s="368" t="s">
        <v>515</v>
      </c>
      <c r="AK328" s="368">
        <v>787</v>
      </c>
      <c r="AL328" s="368" t="s">
        <v>515</v>
      </c>
      <c r="AM328" s="368">
        <f>SUM(O328:AK328)</f>
        <v>7291</v>
      </c>
    </row>
    <row r="329" spans="1:39" s="90" customFormat="1" ht="18" customHeight="1" x14ac:dyDescent="0.3">
      <c r="A329" s="431">
        <v>160</v>
      </c>
      <c r="B329" s="422" t="s">
        <v>738</v>
      </c>
      <c r="C329" s="11" t="s">
        <v>512</v>
      </c>
      <c r="D329" s="156" t="s">
        <v>516</v>
      </c>
      <c r="E329" s="31" t="s">
        <v>364</v>
      </c>
      <c r="F329" s="23" t="s">
        <v>49</v>
      </c>
      <c r="G329" s="374"/>
      <c r="H329" s="133"/>
      <c r="I329" s="156"/>
      <c r="J329" s="133"/>
      <c r="K329" s="330"/>
      <c r="L329" s="330"/>
      <c r="M329" s="24"/>
      <c r="N329" s="330"/>
      <c r="O329" s="368"/>
      <c r="P329" s="368"/>
      <c r="Q329" s="368"/>
      <c r="R329" s="368"/>
      <c r="S329" s="368"/>
      <c r="T329" s="368"/>
      <c r="U329" s="368"/>
      <c r="V329" s="368"/>
      <c r="W329" s="368"/>
      <c r="X329" s="368"/>
      <c r="Y329" s="368"/>
      <c r="Z329" s="368"/>
      <c r="AA329" s="368"/>
      <c r="AB329" s="368"/>
      <c r="AC329" s="368"/>
      <c r="AD329" s="368"/>
      <c r="AE329" s="368"/>
      <c r="AF329" s="368"/>
      <c r="AG329" s="368"/>
      <c r="AH329" s="368"/>
      <c r="AI329" s="368"/>
      <c r="AJ329" s="368"/>
      <c r="AK329" s="368"/>
      <c r="AL329" s="368"/>
      <c r="AM329" s="368"/>
    </row>
    <row r="330" spans="1:39" s="90" customFormat="1" ht="18" customHeight="1" x14ac:dyDescent="0.3">
      <c r="A330" s="432"/>
      <c r="B330" s="423"/>
      <c r="C330" s="12"/>
      <c r="D330" s="156"/>
      <c r="E330" s="31" t="s">
        <v>48</v>
      </c>
      <c r="F330" s="23" t="s">
        <v>49</v>
      </c>
      <c r="G330" s="374" t="s">
        <v>519</v>
      </c>
      <c r="H330" s="133">
        <v>91</v>
      </c>
      <c r="I330" s="156" t="s">
        <v>524</v>
      </c>
      <c r="J330" s="133">
        <v>7</v>
      </c>
      <c r="K330" s="330" t="s">
        <v>218</v>
      </c>
      <c r="L330" s="330" t="s">
        <v>218</v>
      </c>
      <c r="M330" s="24">
        <v>0</v>
      </c>
      <c r="N330" s="330">
        <v>7381</v>
      </c>
      <c r="O330" s="368">
        <v>1055</v>
      </c>
      <c r="P330" s="368" t="s">
        <v>515</v>
      </c>
      <c r="Q330" s="368">
        <v>854</v>
      </c>
      <c r="R330" s="368" t="s">
        <v>515</v>
      </c>
      <c r="S330" s="368">
        <v>527</v>
      </c>
      <c r="T330" s="368" t="s">
        <v>515</v>
      </c>
      <c r="U330" s="368">
        <v>713</v>
      </c>
      <c r="V330" s="368" t="s">
        <v>515</v>
      </c>
      <c r="W330" s="368">
        <v>556</v>
      </c>
      <c r="X330" s="368" t="s">
        <v>515</v>
      </c>
      <c r="Y330" s="368">
        <v>552</v>
      </c>
      <c r="Z330" s="368" t="s">
        <v>515</v>
      </c>
      <c r="AA330" s="368">
        <v>490</v>
      </c>
      <c r="AB330" s="368" t="s">
        <v>515</v>
      </c>
      <c r="AC330" s="368">
        <v>504</v>
      </c>
      <c r="AD330" s="368" t="s">
        <v>515</v>
      </c>
      <c r="AE330" s="368">
        <v>644</v>
      </c>
      <c r="AF330" s="368" t="s">
        <v>515</v>
      </c>
      <c r="AG330" s="368">
        <v>735</v>
      </c>
      <c r="AH330" s="368" t="s">
        <v>515</v>
      </c>
      <c r="AI330" s="368">
        <v>849</v>
      </c>
      <c r="AJ330" s="368" t="s">
        <v>515</v>
      </c>
      <c r="AK330" s="368">
        <v>655</v>
      </c>
      <c r="AL330" s="368" t="s">
        <v>515</v>
      </c>
      <c r="AM330" s="368">
        <f>SUM(O330:AK330)</f>
        <v>8134</v>
      </c>
    </row>
    <row r="331" spans="1:39" s="90" customFormat="1" ht="18" customHeight="1" x14ac:dyDescent="0.3">
      <c r="A331" s="431">
        <v>161</v>
      </c>
      <c r="B331" s="422" t="s">
        <v>739</v>
      </c>
      <c r="C331" s="11" t="s">
        <v>512</v>
      </c>
      <c r="D331" s="156" t="s">
        <v>516</v>
      </c>
      <c r="E331" s="31" t="s">
        <v>364</v>
      </c>
      <c r="F331" s="23" t="s">
        <v>49</v>
      </c>
      <c r="G331" s="374"/>
      <c r="H331" s="133"/>
      <c r="I331" s="156"/>
      <c r="J331" s="133"/>
      <c r="K331" s="132" t="s">
        <v>218</v>
      </c>
      <c r="L331" s="132" t="s">
        <v>218</v>
      </c>
      <c r="M331" s="24">
        <v>10881</v>
      </c>
      <c r="N331" s="330">
        <v>13093</v>
      </c>
      <c r="O331" s="368">
        <v>1248</v>
      </c>
      <c r="P331" s="368" t="s">
        <v>515</v>
      </c>
      <c r="Q331" s="368">
        <v>1121</v>
      </c>
      <c r="R331" s="368" t="s">
        <v>515</v>
      </c>
      <c r="S331" s="368">
        <v>1396</v>
      </c>
      <c r="T331" s="368" t="s">
        <v>515</v>
      </c>
      <c r="U331" s="368">
        <v>1100</v>
      </c>
      <c r="V331" s="368" t="s">
        <v>515</v>
      </c>
      <c r="W331" s="368">
        <v>1199</v>
      </c>
      <c r="X331" s="368" t="s">
        <v>515</v>
      </c>
      <c r="Y331" s="368">
        <v>1048</v>
      </c>
      <c r="Z331" s="368" t="s">
        <v>515</v>
      </c>
      <c r="AA331" s="368">
        <v>1124</v>
      </c>
      <c r="AB331" s="368" t="s">
        <v>515</v>
      </c>
      <c r="AC331" s="368">
        <v>980</v>
      </c>
      <c r="AD331" s="368" t="s">
        <v>515</v>
      </c>
      <c r="AE331" s="368">
        <v>1134</v>
      </c>
      <c r="AF331" s="368" t="s">
        <v>515</v>
      </c>
      <c r="AG331" s="368">
        <v>1167</v>
      </c>
      <c r="AH331" s="368" t="s">
        <v>515</v>
      </c>
      <c r="AI331" s="368">
        <v>949</v>
      </c>
      <c r="AJ331" s="368" t="s">
        <v>515</v>
      </c>
      <c r="AK331" s="368">
        <v>1034</v>
      </c>
      <c r="AL331" s="368" t="s">
        <v>515</v>
      </c>
      <c r="AM331" s="368">
        <f>SUM(O331:AK331)</f>
        <v>13500</v>
      </c>
    </row>
    <row r="332" spans="1:39" s="90" customFormat="1" ht="18" customHeight="1" x14ac:dyDescent="0.3">
      <c r="A332" s="432"/>
      <c r="B332" s="423"/>
      <c r="C332" s="12"/>
      <c r="D332" s="156"/>
      <c r="E332" s="31" t="s">
        <v>48</v>
      </c>
      <c r="F332" s="23" t="s">
        <v>49</v>
      </c>
      <c r="G332" s="374" t="s">
        <v>519</v>
      </c>
      <c r="H332" s="133">
        <v>164</v>
      </c>
      <c r="I332" s="156"/>
      <c r="J332" s="133"/>
      <c r="K332" s="132" t="s">
        <v>218</v>
      </c>
      <c r="L332" s="132" t="s">
        <v>218</v>
      </c>
      <c r="M332" s="24">
        <v>35223</v>
      </c>
      <c r="N332" s="330">
        <v>28724</v>
      </c>
      <c r="O332" s="368">
        <v>2035</v>
      </c>
      <c r="P332" s="368" t="s">
        <v>515</v>
      </c>
      <c r="Q332" s="368">
        <v>1971</v>
      </c>
      <c r="R332" s="368" t="s">
        <v>515</v>
      </c>
      <c r="S332" s="368">
        <v>1220</v>
      </c>
      <c r="T332" s="368" t="s">
        <v>515</v>
      </c>
      <c r="U332" s="368">
        <v>1536</v>
      </c>
      <c r="V332" s="368" t="s">
        <v>515</v>
      </c>
      <c r="W332" s="368">
        <v>1615</v>
      </c>
      <c r="X332" s="368" t="s">
        <v>515</v>
      </c>
      <c r="Y332" s="368">
        <v>1325</v>
      </c>
      <c r="Z332" s="368" t="s">
        <v>515</v>
      </c>
      <c r="AA332" s="368">
        <v>1583</v>
      </c>
      <c r="AB332" s="368" t="s">
        <v>515</v>
      </c>
      <c r="AC332" s="368">
        <v>1421</v>
      </c>
      <c r="AD332" s="368" t="s">
        <v>515</v>
      </c>
      <c r="AE332" s="368">
        <v>1637</v>
      </c>
      <c r="AF332" s="368" t="s">
        <v>515</v>
      </c>
      <c r="AG332" s="368">
        <v>1739</v>
      </c>
      <c r="AH332" s="368" t="s">
        <v>515</v>
      </c>
      <c r="AI332" s="368">
        <v>1551</v>
      </c>
      <c r="AJ332" s="368" t="s">
        <v>515</v>
      </c>
      <c r="AK332" s="368">
        <v>1708</v>
      </c>
      <c r="AL332" s="368" t="s">
        <v>515</v>
      </c>
      <c r="AM332" s="368">
        <f>SUM(O332:AK332)</f>
        <v>19341</v>
      </c>
    </row>
    <row r="333" spans="1:39" s="90" customFormat="1" ht="18" customHeight="1" x14ac:dyDescent="0.3">
      <c r="A333" s="431">
        <v>162</v>
      </c>
      <c r="B333" s="422" t="s">
        <v>740</v>
      </c>
      <c r="C333" s="11" t="s">
        <v>512</v>
      </c>
      <c r="D333" s="156" t="s">
        <v>516</v>
      </c>
      <c r="E333" s="31" t="s">
        <v>364</v>
      </c>
      <c r="F333" s="23" t="s">
        <v>49</v>
      </c>
      <c r="G333" s="374"/>
      <c r="H333" s="133"/>
      <c r="I333" s="156"/>
      <c r="J333" s="133"/>
      <c r="K333" s="132" t="s">
        <v>218</v>
      </c>
      <c r="L333" s="132" t="s">
        <v>218</v>
      </c>
      <c r="M333" s="24">
        <v>12212</v>
      </c>
      <c r="N333" s="330">
        <v>12365</v>
      </c>
      <c r="O333" s="368">
        <v>1046</v>
      </c>
      <c r="P333" s="368" t="s">
        <v>515</v>
      </c>
      <c r="Q333" s="368">
        <v>1057</v>
      </c>
      <c r="R333" s="368" t="s">
        <v>515</v>
      </c>
      <c r="S333" s="368">
        <v>984</v>
      </c>
      <c r="T333" s="368" t="s">
        <v>515</v>
      </c>
      <c r="U333" s="368">
        <v>1001</v>
      </c>
      <c r="V333" s="368" t="s">
        <v>515</v>
      </c>
      <c r="W333" s="368">
        <v>1165</v>
      </c>
      <c r="X333" s="368" t="s">
        <v>515</v>
      </c>
      <c r="Y333" s="368">
        <v>878</v>
      </c>
      <c r="Z333" s="368" t="s">
        <v>515</v>
      </c>
      <c r="AA333" s="368">
        <v>1025</v>
      </c>
      <c r="AB333" s="368" t="s">
        <v>515</v>
      </c>
      <c r="AC333" s="368">
        <v>951</v>
      </c>
      <c r="AD333" s="368" t="s">
        <v>515</v>
      </c>
      <c r="AE333" s="368">
        <v>1131</v>
      </c>
      <c r="AF333" s="368" t="s">
        <v>515</v>
      </c>
      <c r="AG333" s="368">
        <v>1157</v>
      </c>
      <c r="AH333" s="368" t="s">
        <v>515</v>
      </c>
      <c r="AI333" s="368">
        <v>946</v>
      </c>
      <c r="AJ333" s="368" t="s">
        <v>515</v>
      </c>
      <c r="AK333" s="368">
        <v>1067</v>
      </c>
      <c r="AL333" s="368" t="s">
        <v>515</v>
      </c>
      <c r="AM333" s="368">
        <f>SUM(O333:AK333)</f>
        <v>12408</v>
      </c>
    </row>
    <row r="334" spans="1:39" s="90" customFormat="1" ht="18" customHeight="1" x14ac:dyDescent="0.3">
      <c r="A334" s="432"/>
      <c r="B334" s="423"/>
      <c r="C334" s="12"/>
      <c r="D334" s="156"/>
      <c r="E334" s="31" t="s">
        <v>48</v>
      </c>
      <c r="F334" s="23" t="s">
        <v>49</v>
      </c>
      <c r="G334" s="374" t="s">
        <v>514</v>
      </c>
      <c r="H334" s="133">
        <v>210</v>
      </c>
      <c r="I334" s="156"/>
      <c r="J334" s="133"/>
      <c r="K334" s="132" t="s">
        <v>218</v>
      </c>
      <c r="L334" s="132" t="s">
        <v>218</v>
      </c>
      <c r="M334" s="24">
        <v>16778</v>
      </c>
      <c r="N334" s="330">
        <v>14981</v>
      </c>
      <c r="O334" s="368">
        <v>1576</v>
      </c>
      <c r="P334" s="368" t="s">
        <v>515</v>
      </c>
      <c r="Q334" s="368">
        <v>1665</v>
      </c>
      <c r="R334" s="368" t="s">
        <v>515</v>
      </c>
      <c r="S334" s="368">
        <v>1169</v>
      </c>
      <c r="T334" s="368" t="s">
        <v>515</v>
      </c>
      <c r="U334" s="368">
        <v>945</v>
      </c>
      <c r="V334" s="368" t="s">
        <v>515</v>
      </c>
      <c r="W334" s="368">
        <v>934</v>
      </c>
      <c r="X334" s="368" t="s">
        <v>515</v>
      </c>
      <c r="Y334" s="368">
        <v>540</v>
      </c>
      <c r="Z334" s="368" t="s">
        <v>515</v>
      </c>
      <c r="AA334" s="368">
        <v>593</v>
      </c>
      <c r="AB334" s="368" t="s">
        <v>515</v>
      </c>
      <c r="AC334" s="368">
        <v>676</v>
      </c>
      <c r="AD334" s="368" t="s">
        <v>515</v>
      </c>
      <c r="AE334" s="368">
        <v>929</v>
      </c>
      <c r="AF334" s="368" t="s">
        <v>515</v>
      </c>
      <c r="AG334" s="368">
        <v>1105</v>
      </c>
      <c r="AH334" s="368" t="s">
        <v>515</v>
      </c>
      <c r="AI334" s="368">
        <v>1326</v>
      </c>
      <c r="AJ334" s="368" t="s">
        <v>515</v>
      </c>
      <c r="AK334" s="368">
        <v>1917</v>
      </c>
      <c r="AL334" s="368" t="s">
        <v>515</v>
      </c>
      <c r="AM334" s="368">
        <f>SUM(O334:AK334)</f>
        <v>13375</v>
      </c>
    </row>
    <row r="335" spans="1:39" s="90" customFormat="1" ht="18" customHeight="1" x14ac:dyDescent="0.3">
      <c r="A335" s="431">
        <v>163</v>
      </c>
      <c r="B335" s="422" t="s">
        <v>741</v>
      </c>
      <c r="C335" s="11" t="s">
        <v>512</v>
      </c>
      <c r="D335" s="156" t="s">
        <v>516</v>
      </c>
      <c r="E335" s="31" t="s">
        <v>364</v>
      </c>
      <c r="F335" s="23" t="s">
        <v>49</v>
      </c>
      <c r="G335" s="374"/>
      <c r="H335" s="133"/>
      <c r="I335" s="156"/>
      <c r="J335" s="133"/>
      <c r="K335" s="330"/>
      <c r="L335" s="330"/>
      <c r="M335" s="24"/>
      <c r="N335" s="330"/>
      <c r="O335" s="368"/>
      <c r="P335" s="368"/>
      <c r="Q335" s="368"/>
      <c r="R335" s="368"/>
      <c r="S335" s="368"/>
      <c r="T335" s="368"/>
      <c r="U335" s="368"/>
      <c r="V335" s="368"/>
      <c r="W335" s="368"/>
      <c r="X335" s="368"/>
      <c r="Y335" s="368"/>
      <c r="Z335" s="368"/>
      <c r="AA335" s="368"/>
      <c r="AB335" s="368"/>
      <c r="AC335" s="368"/>
      <c r="AD335" s="368"/>
      <c r="AE335" s="368"/>
      <c r="AF335" s="368"/>
      <c r="AG335" s="368"/>
      <c r="AH335" s="368"/>
      <c r="AI335" s="368"/>
      <c r="AJ335" s="368"/>
      <c r="AK335" s="368"/>
      <c r="AL335" s="368"/>
      <c r="AM335" s="368"/>
    </row>
    <row r="336" spans="1:39" s="90" customFormat="1" ht="18" customHeight="1" x14ac:dyDescent="0.3">
      <c r="A336" s="432"/>
      <c r="B336" s="423"/>
      <c r="C336" s="12"/>
      <c r="D336" s="156"/>
      <c r="E336" s="31" t="s">
        <v>48</v>
      </c>
      <c r="F336" s="23" t="s">
        <v>49</v>
      </c>
      <c r="G336" s="374" t="s">
        <v>518</v>
      </c>
      <c r="H336" s="133">
        <v>77</v>
      </c>
      <c r="I336" s="156"/>
      <c r="J336" s="133"/>
      <c r="K336" s="330" t="s">
        <v>218</v>
      </c>
      <c r="L336" s="330" t="s">
        <v>218</v>
      </c>
      <c r="M336" s="24">
        <v>12505</v>
      </c>
      <c r="N336" s="330">
        <v>10712</v>
      </c>
      <c r="O336" s="368">
        <v>1294</v>
      </c>
      <c r="P336" s="368" t="s">
        <v>515</v>
      </c>
      <c r="Q336" s="368">
        <v>940</v>
      </c>
      <c r="R336" s="368" t="s">
        <v>515</v>
      </c>
      <c r="S336" s="368">
        <v>698</v>
      </c>
      <c r="T336" s="368" t="s">
        <v>515</v>
      </c>
      <c r="U336" s="368">
        <v>612</v>
      </c>
      <c r="V336" s="368" t="s">
        <v>515</v>
      </c>
      <c r="W336" s="368">
        <v>538</v>
      </c>
      <c r="X336" s="368" t="s">
        <v>515</v>
      </c>
      <c r="Y336" s="368">
        <v>408</v>
      </c>
      <c r="Z336" s="368" t="s">
        <v>515</v>
      </c>
      <c r="AA336" s="368">
        <v>450</v>
      </c>
      <c r="AB336" s="368" t="s">
        <v>515</v>
      </c>
      <c r="AC336" s="368">
        <v>590</v>
      </c>
      <c r="AD336" s="368" t="s">
        <v>515</v>
      </c>
      <c r="AE336" s="368">
        <v>679</v>
      </c>
      <c r="AF336" s="368" t="s">
        <v>515</v>
      </c>
      <c r="AG336" s="368">
        <v>780</v>
      </c>
      <c r="AH336" s="368" t="s">
        <v>515</v>
      </c>
      <c r="AI336" s="368">
        <v>996</v>
      </c>
      <c r="AJ336" s="368" t="s">
        <v>515</v>
      </c>
      <c r="AK336" s="368">
        <v>1081</v>
      </c>
      <c r="AL336" s="368" t="s">
        <v>515</v>
      </c>
      <c r="AM336" s="368">
        <f>SUM(O336:AK336)</f>
        <v>9066</v>
      </c>
    </row>
    <row r="337" spans="1:39" s="90" customFormat="1" ht="18" customHeight="1" x14ac:dyDescent="0.3">
      <c r="A337" s="431">
        <v>164</v>
      </c>
      <c r="B337" s="422" t="s">
        <v>742</v>
      </c>
      <c r="C337" s="11" t="s">
        <v>512</v>
      </c>
      <c r="D337" s="156" t="s">
        <v>516</v>
      </c>
      <c r="E337" s="31" t="s">
        <v>364</v>
      </c>
      <c r="F337" s="23" t="s">
        <v>49</v>
      </c>
      <c r="G337" s="374"/>
      <c r="H337" s="133"/>
      <c r="I337" s="156"/>
      <c r="J337" s="133"/>
      <c r="K337" s="330"/>
      <c r="L337" s="330"/>
      <c r="M337" s="24"/>
      <c r="N337" s="330"/>
      <c r="O337" s="368"/>
      <c r="P337" s="368"/>
      <c r="Q337" s="368"/>
      <c r="R337" s="368"/>
      <c r="S337" s="368"/>
      <c r="T337" s="368"/>
      <c r="U337" s="368"/>
      <c r="V337" s="368"/>
      <c r="W337" s="368"/>
      <c r="X337" s="368"/>
      <c r="Y337" s="368"/>
      <c r="Z337" s="368" t="s">
        <v>515</v>
      </c>
      <c r="AA337" s="368"/>
      <c r="AB337" s="368" t="s">
        <v>515</v>
      </c>
      <c r="AC337" s="368"/>
      <c r="AD337" s="368" t="s">
        <v>515</v>
      </c>
      <c r="AE337" s="368"/>
      <c r="AF337" s="368"/>
      <c r="AG337" s="368"/>
      <c r="AH337" s="368"/>
      <c r="AI337" s="368"/>
      <c r="AJ337" s="368"/>
      <c r="AK337" s="368"/>
      <c r="AL337" s="368"/>
      <c r="AM337" s="368"/>
    </row>
    <row r="338" spans="1:39" s="90" customFormat="1" ht="18" customHeight="1" x14ac:dyDescent="0.3">
      <c r="A338" s="432"/>
      <c r="B338" s="423"/>
      <c r="C338" s="12"/>
      <c r="D338" s="156"/>
      <c r="E338" s="31" t="s">
        <v>48</v>
      </c>
      <c r="F338" s="23" t="s">
        <v>49</v>
      </c>
      <c r="G338" s="374" t="s">
        <v>518</v>
      </c>
      <c r="H338" s="133">
        <v>77</v>
      </c>
      <c r="I338" s="156"/>
      <c r="J338" s="133"/>
      <c r="K338" s="330" t="s">
        <v>218</v>
      </c>
      <c r="L338" s="330" t="s">
        <v>218</v>
      </c>
      <c r="M338" s="24">
        <v>7636</v>
      </c>
      <c r="N338" s="330">
        <v>7191</v>
      </c>
      <c r="O338" s="368">
        <v>1245</v>
      </c>
      <c r="P338" s="368" t="s">
        <v>515</v>
      </c>
      <c r="Q338" s="368">
        <v>810</v>
      </c>
      <c r="R338" s="368" t="s">
        <v>515</v>
      </c>
      <c r="S338" s="368">
        <v>557</v>
      </c>
      <c r="T338" s="368" t="s">
        <v>515</v>
      </c>
      <c r="U338" s="368">
        <v>418</v>
      </c>
      <c r="V338" s="368" t="s">
        <v>515</v>
      </c>
      <c r="W338" s="368">
        <v>330</v>
      </c>
      <c r="X338" s="368" t="s">
        <v>515</v>
      </c>
      <c r="Y338" s="368">
        <v>267</v>
      </c>
      <c r="Z338" s="368" t="s">
        <v>515</v>
      </c>
      <c r="AA338" s="368">
        <v>204</v>
      </c>
      <c r="AB338" s="368" t="s">
        <v>515</v>
      </c>
      <c r="AC338" s="368">
        <v>259</v>
      </c>
      <c r="AD338" s="368" t="s">
        <v>515</v>
      </c>
      <c r="AE338" s="368">
        <v>419</v>
      </c>
      <c r="AF338" s="368" t="s">
        <v>515</v>
      </c>
      <c r="AG338" s="368">
        <v>519</v>
      </c>
      <c r="AH338" s="368" t="s">
        <v>515</v>
      </c>
      <c r="AI338" s="368">
        <v>662</v>
      </c>
      <c r="AJ338" s="368" t="s">
        <v>515</v>
      </c>
      <c r="AK338" s="368">
        <v>981</v>
      </c>
      <c r="AL338" s="368" t="s">
        <v>515</v>
      </c>
      <c r="AM338" s="368">
        <f>SUM(O338:AK338)</f>
        <v>6671</v>
      </c>
    </row>
    <row r="339" spans="1:39" s="90" customFormat="1" ht="18" customHeight="1" x14ac:dyDescent="0.3">
      <c r="A339" s="431">
        <v>165</v>
      </c>
      <c r="B339" s="422" t="s">
        <v>743</v>
      </c>
      <c r="C339" s="11" t="s">
        <v>512</v>
      </c>
      <c r="D339" s="156" t="s">
        <v>516</v>
      </c>
      <c r="E339" s="31" t="s">
        <v>364</v>
      </c>
      <c r="F339" s="23" t="s">
        <v>49</v>
      </c>
      <c r="G339" s="374"/>
      <c r="H339" s="133"/>
      <c r="I339" s="156"/>
      <c r="J339" s="133"/>
      <c r="K339" s="330"/>
      <c r="L339" s="330"/>
      <c r="M339" s="24"/>
      <c r="N339" s="330"/>
      <c r="O339" s="368"/>
      <c r="P339" s="368" t="s">
        <v>515</v>
      </c>
      <c r="Q339" s="368"/>
      <c r="R339" s="368" t="s">
        <v>515</v>
      </c>
      <c r="S339" s="368"/>
      <c r="T339" s="368"/>
      <c r="U339" s="368"/>
      <c r="V339" s="368"/>
      <c r="W339" s="368"/>
      <c r="X339" s="368"/>
      <c r="Y339" s="368"/>
      <c r="Z339" s="368"/>
      <c r="AA339" s="368"/>
      <c r="AB339" s="368"/>
      <c r="AC339" s="368"/>
      <c r="AD339" s="368"/>
      <c r="AE339" s="368"/>
      <c r="AF339" s="368"/>
      <c r="AG339" s="368"/>
      <c r="AH339" s="368"/>
      <c r="AI339" s="368"/>
      <c r="AJ339" s="368"/>
      <c r="AK339" s="368"/>
      <c r="AL339" s="368"/>
      <c r="AM339" s="368"/>
    </row>
    <row r="340" spans="1:39" s="90" customFormat="1" ht="18" customHeight="1" x14ac:dyDescent="0.3">
      <c r="A340" s="432"/>
      <c r="B340" s="423"/>
      <c r="C340" s="12"/>
      <c r="D340" s="156"/>
      <c r="E340" s="31" t="s">
        <v>48</v>
      </c>
      <c r="F340" s="23" t="s">
        <v>49</v>
      </c>
      <c r="G340" s="374" t="s">
        <v>518</v>
      </c>
      <c r="H340" s="133">
        <v>77</v>
      </c>
      <c r="I340" s="156"/>
      <c r="J340" s="133"/>
      <c r="K340" s="330" t="s">
        <v>218</v>
      </c>
      <c r="L340" s="330" t="s">
        <v>218</v>
      </c>
      <c r="M340" s="24">
        <v>8610</v>
      </c>
      <c r="N340" s="330">
        <v>8445</v>
      </c>
      <c r="O340" s="368">
        <v>1251</v>
      </c>
      <c r="P340" s="368" t="s">
        <v>515</v>
      </c>
      <c r="Q340" s="368">
        <v>1102</v>
      </c>
      <c r="R340" s="368" t="s">
        <v>515</v>
      </c>
      <c r="S340" s="368">
        <v>737</v>
      </c>
      <c r="T340" s="368" t="s">
        <v>515</v>
      </c>
      <c r="U340" s="368">
        <v>608</v>
      </c>
      <c r="V340" s="368" t="s">
        <v>515</v>
      </c>
      <c r="W340" s="368">
        <v>516</v>
      </c>
      <c r="X340" s="368" t="s">
        <v>515</v>
      </c>
      <c r="Y340" s="368">
        <v>369</v>
      </c>
      <c r="Z340" s="368" t="s">
        <v>515</v>
      </c>
      <c r="AA340" s="368">
        <v>383</v>
      </c>
      <c r="AB340" s="368" t="s">
        <v>515</v>
      </c>
      <c r="AC340" s="368">
        <v>484</v>
      </c>
      <c r="AD340" s="368" t="s">
        <v>515</v>
      </c>
      <c r="AE340" s="368">
        <v>464</v>
      </c>
      <c r="AF340" s="368" t="s">
        <v>515</v>
      </c>
      <c r="AG340" s="368">
        <v>616</v>
      </c>
      <c r="AH340" s="368" t="s">
        <v>515</v>
      </c>
      <c r="AI340" s="368">
        <v>876</v>
      </c>
      <c r="AJ340" s="368" t="s">
        <v>515</v>
      </c>
      <c r="AK340" s="368">
        <v>1121</v>
      </c>
      <c r="AL340" s="368" t="s">
        <v>515</v>
      </c>
      <c r="AM340" s="368">
        <f>SUM(O340:AK340)</f>
        <v>8527</v>
      </c>
    </row>
    <row r="341" spans="1:39" s="90" customFormat="1" ht="18" customHeight="1" x14ac:dyDescent="0.3">
      <c r="A341" s="431">
        <v>166</v>
      </c>
      <c r="B341" s="422" t="s">
        <v>744</v>
      </c>
      <c r="C341" s="11" t="s">
        <v>512</v>
      </c>
      <c r="D341" s="156" t="s">
        <v>516</v>
      </c>
      <c r="E341" s="31" t="s">
        <v>364</v>
      </c>
      <c r="F341" s="23" t="s">
        <v>49</v>
      </c>
      <c r="G341" s="374"/>
      <c r="H341" s="133"/>
      <c r="I341" s="156"/>
      <c r="J341" s="133"/>
      <c r="K341" s="330"/>
      <c r="L341" s="330"/>
      <c r="M341" s="24"/>
      <c r="N341" s="330"/>
      <c r="O341" s="368"/>
      <c r="P341" s="368"/>
      <c r="Q341" s="368"/>
      <c r="R341" s="368"/>
      <c r="S341" s="368"/>
      <c r="T341" s="368"/>
      <c r="U341" s="368"/>
      <c r="V341" s="368"/>
      <c r="W341" s="368"/>
      <c r="X341" s="368"/>
      <c r="Y341" s="368"/>
      <c r="Z341" s="368"/>
      <c r="AA341" s="368"/>
      <c r="AB341" s="368"/>
      <c r="AC341" s="368"/>
      <c r="AD341" s="368"/>
      <c r="AE341" s="368"/>
      <c r="AF341" s="368"/>
      <c r="AG341" s="368"/>
      <c r="AH341" s="368"/>
      <c r="AI341" s="368"/>
      <c r="AJ341" s="368"/>
      <c r="AK341" s="368"/>
      <c r="AL341" s="368"/>
      <c r="AM341" s="368"/>
    </row>
    <row r="342" spans="1:39" s="90" customFormat="1" ht="18" customHeight="1" x14ac:dyDescent="0.3">
      <c r="A342" s="432"/>
      <c r="B342" s="423"/>
      <c r="C342" s="12"/>
      <c r="D342" s="156"/>
      <c r="E342" s="31" t="s">
        <v>48</v>
      </c>
      <c r="F342" s="23" t="s">
        <v>49</v>
      </c>
      <c r="G342" s="374" t="s">
        <v>514</v>
      </c>
      <c r="H342" s="133">
        <v>77</v>
      </c>
      <c r="I342" s="156"/>
      <c r="J342" s="133"/>
      <c r="K342" s="330" t="s">
        <v>218</v>
      </c>
      <c r="L342" s="330" t="s">
        <v>218</v>
      </c>
      <c r="M342" s="24">
        <v>5418</v>
      </c>
      <c r="N342" s="330">
        <v>5036</v>
      </c>
      <c r="O342" s="368">
        <v>541</v>
      </c>
      <c r="P342" s="368" t="s">
        <v>515</v>
      </c>
      <c r="Q342" s="368">
        <v>511</v>
      </c>
      <c r="R342" s="368" t="s">
        <v>515</v>
      </c>
      <c r="S342" s="368">
        <v>400</v>
      </c>
      <c r="T342" s="368" t="s">
        <v>515</v>
      </c>
      <c r="U342" s="368">
        <v>258</v>
      </c>
      <c r="V342" s="368" t="s">
        <v>515</v>
      </c>
      <c r="W342" s="368">
        <v>173</v>
      </c>
      <c r="X342" s="368" t="s">
        <v>515</v>
      </c>
      <c r="Y342" s="368">
        <v>134</v>
      </c>
      <c r="Z342" s="368" t="s">
        <v>515</v>
      </c>
      <c r="AA342" s="368">
        <v>135</v>
      </c>
      <c r="AB342" s="368" t="s">
        <v>515</v>
      </c>
      <c r="AC342" s="368">
        <v>145</v>
      </c>
      <c r="AD342" s="368" t="s">
        <v>515</v>
      </c>
      <c r="AE342" s="368">
        <v>176</v>
      </c>
      <c r="AF342" s="368" t="s">
        <v>515</v>
      </c>
      <c r="AG342" s="368">
        <v>299</v>
      </c>
      <c r="AH342" s="368" t="s">
        <v>515</v>
      </c>
      <c r="AI342" s="368">
        <v>384</v>
      </c>
      <c r="AJ342" s="368" t="s">
        <v>515</v>
      </c>
      <c r="AK342" s="368">
        <v>609</v>
      </c>
      <c r="AL342" s="368" t="s">
        <v>515</v>
      </c>
      <c r="AM342" s="368">
        <f t="shared" ref="AM342:AM356" si="9">SUM(O342:AK342)</f>
        <v>3765</v>
      </c>
    </row>
    <row r="343" spans="1:39" s="90" customFormat="1" ht="18" customHeight="1" x14ac:dyDescent="0.3">
      <c r="A343" s="431">
        <v>167</v>
      </c>
      <c r="B343" s="422" t="s">
        <v>745</v>
      </c>
      <c r="C343" s="11" t="s">
        <v>512</v>
      </c>
      <c r="D343" s="156" t="s">
        <v>516</v>
      </c>
      <c r="E343" s="31" t="s">
        <v>364</v>
      </c>
      <c r="F343" s="23" t="s">
        <v>49</v>
      </c>
      <c r="G343" s="374"/>
      <c r="H343" s="133"/>
      <c r="I343" s="156"/>
      <c r="J343" s="133"/>
      <c r="K343" s="330" t="s">
        <v>218</v>
      </c>
      <c r="L343" s="330" t="s">
        <v>218</v>
      </c>
      <c r="M343" s="24">
        <v>13653</v>
      </c>
      <c r="N343" s="330">
        <v>9597</v>
      </c>
      <c r="O343" s="368">
        <v>1414</v>
      </c>
      <c r="P343" s="368" t="s">
        <v>515</v>
      </c>
      <c r="Q343" s="368">
        <v>1111</v>
      </c>
      <c r="R343" s="368" t="s">
        <v>515</v>
      </c>
      <c r="S343" s="368">
        <v>1221</v>
      </c>
      <c r="T343" s="368" t="s">
        <v>515</v>
      </c>
      <c r="U343" s="368">
        <v>1409</v>
      </c>
      <c r="V343" s="368" t="s">
        <v>515</v>
      </c>
      <c r="W343" s="368">
        <v>1068</v>
      </c>
      <c r="X343" s="368" t="s">
        <v>515</v>
      </c>
      <c r="Y343" s="368">
        <v>1073</v>
      </c>
      <c r="Z343" s="368" t="s">
        <v>515</v>
      </c>
      <c r="AA343" s="368">
        <v>1148</v>
      </c>
      <c r="AB343" s="368" t="s">
        <v>515</v>
      </c>
      <c r="AC343" s="368">
        <v>1108</v>
      </c>
      <c r="AD343" s="368" t="s">
        <v>515</v>
      </c>
      <c r="AE343" s="368">
        <v>1451</v>
      </c>
      <c r="AF343" s="368" t="s">
        <v>515</v>
      </c>
      <c r="AG343" s="368">
        <v>1238</v>
      </c>
      <c r="AH343" s="368" t="s">
        <v>515</v>
      </c>
      <c r="AI343" s="368">
        <v>1084</v>
      </c>
      <c r="AJ343" s="368" t="s">
        <v>515</v>
      </c>
      <c r="AK343" s="368">
        <v>1336</v>
      </c>
      <c r="AL343" s="368" t="s">
        <v>515</v>
      </c>
      <c r="AM343" s="368">
        <f t="shared" si="9"/>
        <v>14661</v>
      </c>
    </row>
    <row r="344" spans="1:39" s="90" customFormat="1" ht="18" customHeight="1" x14ac:dyDescent="0.3">
      <c r="A344" s="432"/>
      <c r="B344" s="423"/>
      <c r="C344" s="12"/>
      <c r="D344" s="156"/>
      <c r="E344" s="31" t="s">
        <v>48</v>
      </c>
      <c r="F344" s="23" t="s">
        <v>49</v>
      </c>
      <c r="G344" s="374" t="s">
        <v>519</v>
      </c>
      <c r="H344" s="133">
        <v>270</v>
      </c>
      <c r="I344" s="156" t="s">
        <v>524</v>
      </c>
      <c r="J344" s="133">
        <v>6</v>
      </c>
      <c r="K344" s="330" t="s">
        <v>218</v>
      </c>
      <c r="L344" s="330" t="s">
        <v>218</v>
      </c>
      <c r="M344" s="24">
        <v>18808</v>
      </c>
      <c r="N344" s="330">
        <v>14308</v>
      </c>
      <c r="O344" s="368">
        <v>1709</v>
      </c>
      <c r="P344" s="368" t="s">
        <v>515</v>
      </c>
      <c r="Q344" s="368">
        <v>1187</v>
      </c>
      <c r="R344" s="368" t="s">
        <v>515</v>
      </c>
      <c r="S344" s="368">
        <v>1265</v>
      </c>
      <c r="T344" s="368" t="s">
        <v>515</v>
      </c>
      <c r="U344" s="368">
        <v>1524</v>
      </c>
      <c r="V344" s="368" t="s">
        <v>515</v>
      </c>
      <c r="W344" s="368">
        <v>913</v>
      </c>
      <c r="X344" s="368" t="s">
        <v>515</v>
      </c>
      <c r="Y344" s="368">
        <v>692</v>
      </c>
      <c r="Z344" s="368" t="s">
        <v>515</v>
      </c>
      <c r="AA344" s="368">
        <v>952</v>
      </c>
      <c r="AB344" s="368" t="s">
        <v>515</v>
      </c>
      <c r="AC344" s="368">
        <v>1053</v>
      </c>
      <c r="AD344" s="368" t="s">
        <v>515</v>
      </c>
      <c r="AE344" s="368">
        <v>1483</v>
      </c>
      <c r="AF344" s="368" t="s">
        <v>515</v>
      </c>
      <c r="AG344" s="368">
        <v>1643</v>
      </c>
      <c r="AH344" s="368" t="s">
        <v>515</v>
      </c>
      <c r="AI344" s="368">
        <v>1509</v>
      </c>
      <c r="AJ344" s="368" t="s">
        <v>515</v>
      </c>
      <c r="AK344" s="368">
        <v>1926</v>
      </c>
      <c r="AL344" s="368" t="s">
        <v>515</v>
      </c>
      <c r="AM344" s="368">
        <f t="shared" si="9"/>
        <v>15856</v>
      </c>
    </row>
    <row r="345" spans="1:39" s="90" customFormat="1" ht="18" customHeight="1" x14ac:dyDescent="0.3">
      <c r="A345" s="431">
        <v>168</v>
      </c>
      <c r="B345" s="422" t="s">
        <v>746</v>
      </c>
      <c r="C345" s="11" t="s">
        <v>512</v>
      </c>
      <c r="D345" s="156" t="s">
        <v>516</v>
      </c>
      <c r="E345" s="31" t="s">
        <v>364</v>
      </c>
      <c r="F345" s="23" t="s">
        <v>49</v>
      </c>
      <c r="G345" s="374"/>
      <c r="H345" s="133"/>
      <c r="I345" s="156"/>
      <c r="J345" s="133"/>
      <c r="K345" s="330" t="s">
        <v>218</v>
      </c>
      <c r="L345" s="330" t="s">
        <v>218</v>
      </c>
      <c r="M345" s="24">
        <v>1894</v>
      </c>
      <c r="N345" s="330">
        <v>2780</v>
      </c>
      <c r="O345" s="368">
        <v>254</v>
      </c>
      <c r="P345" s="368" t="s">
        <v>515</v>
      </c>
      <c r="Q345" s="368">
        <v>233</v>
      </c>
      <c r="R345" s="368" t="s">
        <v>515</v>
      </c>
      <c r="S345" s="368">
        <v>207</v>
      </c>
      <c r="T345" s="368" t="s">
        <v>515</v>
      </c>
      <c r="U345" s="368">
        <v>209</v>
      </c>
      <c r="V345" s="368" t="s">
        <v>515</v>
      </c>
      <c r="W345" s="368">
        <v>215</v>
      </c>
      <c r="X345" s="368" t="s">
        <v>515</v>
      </c>
      <c r="Y345" s="368">
        <v>210</v>
      </c>
      <c r="Z345" s="368" t="s">
        <v>515</v>
      </c>
      <c r="AA345" s="368">
        <v>239</v>
      </c>
      <c r="AB345" s="368" t="s">
        <v>515</v>
      </c>
      <c r="AC345" s="368">
        <v>218</v>
      </c>
      <c r="AD345" s="368" t="s">
        <v>515</v>
      </c>
      <c r="AE345" s="368">
        <v>225</v>
      </c>
      <c r="AF345" s="368" t="s">
        <v>515</v>
      </c>
      <c r="AG345" s="368">
        <v>219</v>
      </c>
      <c r="AH345" s="368" t="s">
        <v>515</v>
      </c>
      <c r="AI345" s="368">
        <v>221</v>
      </c>
      <c r="AJ345" s="368" t="s">
        <v>515</v>
      </c>
      <c r="AK345" s="368">
        <v>226</v>
      </c>
      <c r="AL345" s="368" t="s">
        <v>515</v>
      </c>
      <c r="AM345" s="368">
        <f t="shared" si="9"/>
        <v>2676</v>
      </c>
    </row>
    <row r="346" spans="1:39" s="90" customFormat="1" ht="18" customHeight="1" x14ac:dyDescent="0.3">
      <c r="A346" s="432"/>
      <c r="B346" s="423"/>
      <c r="C346" s="12"/>
      <c r="D346" s="156"/>
      <c r="E346" s="31" t="s">
        <v>48</v>
      </c>
      <c r="F346" s="23" t="s">
        <v>49</v>
      </c>
      <c r="G346" s="374" t="s">
        <v>518</v>
      </c>
      <c r="H346" s="133">
        <v>32</v>
      </c>
      <c r="I346" s="156"/>
      <c r="J346" s="133"/>
      <c r="K346" s="330" t="s">
        <v>218</v>
      </c>
      <c r="L346" s="330" t="s">
        <v>218</v>
      </c>
      <c r="M346" s="24">
        <v>5425</v>
      </c>
      <c r="N346" s="330">
        <v>3349</v>
      </c>
      <c r="O346" s="368">
        <v>376</v>
      </c>
      <c r="P346" s="368" t="s">
        <v>515</v>
      </c>
      <c r="Q346" s="368">
        <v>263</v>
      </c>
      <c r="R346" s="368" t="s">
        <v>515</v>
      </c>
      <c r="S346" s="368">
        <v>186</v>
      </c>
      <c r="T346" s="368" t="s">
        <v>515</v>
      </c>
      <c r="U346" s="368">
        <v>192</v>
      </c>
      <c r="V346" s="368" t="s">
        <v>515</v>
      </c>
      <c r="W346" s="368">
        <v>159</v>
      </c>
      <c r="X346" s="368" t="s">
        <v>515</v>
      </c>
      <c r="Y346" s="368">
        <v>219</v>
      </c>
      <c r="Z346" s="368" t="s">
        <v>515</v>
      </c>
      <c r="AA346" s="368">
        <v>251</v>
      </c>
      <c r="AB346" s="368" t="s">
        <v>515</v>
      </c>
      <c r="AC346" s="368">
        <v>218</v>
      </c>
      <c r="AD346" s="368" t="s">
        <v>515</v>
      </c>
      <c r="AE346" s="368">
        <v>235</v>
      </c>
      <c r="AF346" s="368" t="s">
        <v>515</v>
      </c>
      <c r="AG346" s="368">
        <v>253</v>
      </c>
      <c r="AH346" s="368" t="s">
        <v>515</v>
      </c>
      <c r="AI346" s="368">
        <v>319</v>
      </c>
      <c r="AJ346" s="368" t="s">
        <v>515</v>
      </c>
      <c r="AK346" s="368">
        <v>291</v>
      </c>
      <c r="AL346" s="368" t="s">
        <v>515</v>
      </c>
      <c r="AM346" s="368">
        <f t="shared" si="9"/>
        <v>2962</v>
      </c>
    </row>
    <row r="347" spans="1:39" s="90" customFormat="1" ht="18" customHeight="1" x14ac:dyDescent="0.3">
      <c r="A347" s="431">
        <v>169</v>
      </c>
      <c r="B347" s="422" t="s">
        <v>747</v>
      </c>
      <c r="C347" s="11" t="s">
        <v>512</v>
      </c>
      <c r="D347" s="156" t="s">
        <v>516</v>
      </c>
      <c r="E347" s="31" t="s">
        <v>364</v>
      </c>
      <c r="F347" s="23" t="s">
        <v>49</v>
      </c>
      <c r="G347" s="374"/>
      <c r="H347" s="133"/>
      <c r="I347" s="156"/>
      <c r="J347" s="133"/>
      <c r="K347" s="330" t="s">
        <v>218</v>
      </c>
      <c r="L347" s="330" t="s">
        <v>218</v>
      </c>
      <c r="M347" s="24">
        <v>61680</v>
      </c>
      <c r="N347" s="330">
        <v>61050</v>
      </c>
      <c r="O347" s="368">
        <v>5070</v>
      </c>
      <c r="P347" s="368" t="s">
        <v>515</v>
      </c>
      <c r="Q347" s="368">
        <v>4830</v>
      </c>
      <c r="R347" s="368" t="s">
        <v>515</v>
      </c>
      <c r="S347" s="368">
        <v>5250</v>
      </c>
      <c r="T347" s="368" t="s">
        <v>515</v>
      </c>
      <c r="U347" s="368">
        <v>4800</v>
      </c>
      <c r="V347" s="368" t="s">
        <v>515</v>
      </c>
      <c r="W347" s="368">
        <v>4650</v>
      </c>
      <c r="X347" s="368" t="s">
        <v>515</v>
      </c>
      <c r="Y347" s="368">
        <v>4950</v>
      </c>
      <c r="Z347" s="368" t="s">
        <v>515</v>
      </c>
      <c r="AA347" s="368">
        <v>4800</v>
      </c>
      <c r="AB347" s="368" t="s">
        <v>515</v>
      </c>
      <c r="AC347" s="368">
        <v>3780</v>
      </c>
      <c r="AD347" s="368" t="s">
        <v>515</v>
      </c>
      <c r="AE347" s="368">
        <v>5670</v>
      </c>
      <c r="AF347" s="368" t="s">
        <v>515</v>
      </c>
      <c r="AG347" s="368">
        <v>5250</v>
      </c>
      <c r="AH347" s="368" t="s">
        <v>515</v>
      </c>
      <c r="AI347" s="368">
        <v>4350</v>
      </c>
      <c r="AJ347" s="368" t="s">
        <v>515</v>
      </c>
      <c r="AK347" s="368">
        <v>4560</v>
      </c>
      <c r="AL347" s="368" t="s">
        <v>515</v>
      </c>
      <c r="AM347" s="368">
        <f t="shared" si="9"/>
        <v>57960</v>
      </c>
    </row>
    <row r="348" spans="1:39" s="90" customFormat="1" ht="18" customHeight="1" x14ac:dyDescent="0.3">
      <c r="A348" s="432"/>
      <c r="B348" s="423"/>
      <c r="C348" s="12"/>
      <c r="D348" s="156"/>
      <c r="E348" s="31" t="s">
        <v>48</v>
      </c>
      <c r="F348" s="23" t="s">
        <v>49</v>
      </c>
      <c r="G348" s="374" t="s">
        <v>529</v>
      </c>
      <c r="H348" s="133">
        <v>724</v>
      </c>
      <c r="I348" s="156" t="s">
        <v>525</v>
      </c>
      <c r="J348" s="133">
        <v>23</v>
      </c>
      <c r="K348" s="330" t="s">
        <v>218</v>
      </c>
      <c r="L348" s="330" t="s">
        <v>218</v>
      </c>
      <c r="M348" s="24">
        <v>106440</v>
      </c>
      <c r="N348" s="330">
        <v>113800</v>
      </c>
      <c r="O348" s="368">
        <v>10200</v>
      </c>
      <c r="P348" s="368" t="s">
        <v>515</v>
      </c>
      <c r="Q348" s="368">
        <v>9400</v>
      </c>
      <c r="R348" s="368" t="s">
        <v>515</v>
      </c>
      <c r="S348" s="368">
        <v>10400</v>
      </c>
      <c r="T348" s="368" t="s">
        <v>515</v>
      </c>
      <c r="U348" s="368">
        <v>8900</v>
      </c>
      <c r="V348" s="368" t="s">
        <v>515</v>
      </c>
      <c r="W348" s="368">
        <v>8160</v>
      </c>
      <c r="X348" s="368" t="s">
        <v>515</v>
      </c>
      <c r="Y348" s="368">
        <v>8640</v>
      </c>
      <c r="Z348" s="368" t="s">
        <v>515</v>
      </c>
      <c r="AA348" s="368">
        <v>7500</v>
      </c>
      <c r="AB348" s="368" t="s">
        <v>515</v>
      </c>
      <c r="AC348" s="368">
        <v>6580</v>
      </c>
      <c r="AD348" s="368" t="s">
        <v>515</v>
      </c>
      <c r="AE348" s="368">
        <v>9540</v>
      </c>
      <c r="AF348" s="368" t="s">
        <v>515</v>
      </c>
      <c r="AG348" s="368">
        <v>8980</v>
      </c>
      <c r="AH348" s="368" t="s">
        <v>515</v>
      </c>
      <c r="AI348" s="368">
        <v>10000</v>
      </c>
      <c r="AJ348" s="368" t="s">
        <v>515</v>
      </c>
      <c r="AK348" s="368">
        <v>9640</v>
      </c>
      <c r="AL348" s="368" t="s">
        <v>515</v>
      </c>
      <c r="AM348" s="368">
        <f t="shared" si="9"/>
        <v>107940</v>
      </c>
    </row>
    <row r="349" spans="1:39" s="90" customFormat="1" ht="18" customHeight="1" x14ac:dyDescent="0.3">
      <c r="A349" s="431">
        <v>170</v>
      </c>
      <c r="B349" s="422" t="s">
        <v>748</v>
      </c>
      <c r="C349" s="11" t="s">
        <v>512</v>
      </c>
      <c r="D349" s="156" t="s">
        <v>570</v>
      </c>
      <c r="E349" s="31" t="s">
        <v>364</v>
      </c>
      <c r="F349" s="23" t="s">
        <v>49</v>
      </c>
      <c r="G349" s="374"/>
      <c r="H349" s="133"/>
      <c r="I349" s="156"/>
      <c r="J349" s="133"/>
      <c r="K349" s="330" t="s">
        <v>218</v>
      </c>
      <c r="L349" s="330" t="s">
        <v>218</v>
      </c>
      <c r="M349" s="24">
        <v>72980</v>
      </c>
      <c r="N349" s="330">
        <v>77720</v>
      </c>
      <c r="O349" s="368">
        <v>8040</v>
      </c>
      <c r="P349" s="368" t="s">
        <v>515</v>
      </c>
      <c r="Q349" s="368">
        <v>6660</v>
      </c>
      <c r="R349" s="368" t="s">
        <v>515</v>
      </c>
      <c r="S349" s="368">
        <v>7240</v>
      </c>
      <c r="T349" s="368" t="s">
        <v>515</v>
      </c>
      <c r="U349" s="368">
        <v>6080</v>
      </c>
      <c r="V349" s="368" t="s">
        <v>515</v>
      </c>
      <c r="W349" s="368">
        <v>4840</v>
      </c>
      <c r="X349" s="368" t="s">
        <v>515</v>
      </c>
      <c r="Y349" s="368">
        <v>4740</v>
      </c>
      <c r="Z349" s="368" t="s">
        <v>515</v>
      </c>
      <c r="AA349" s="368">
        <v>5020</v>
      </c>
      <c r="AB349" s="368" t="s">
        <v>515</v>
      </c>
      <c r="AC349" s="368">
        <v>4340</v>
      </c>
      <c r="AD349" s="368" t="s">
        <v>515</v>
      </c>
      <c r="AE349" s="368">
        <v>5340</v>
      </c>
      <c r="AF349" s="368" t="s">
        <v>515</v>
      </c>
      <c r="AG349" s="368">
        <v>5300</v>
      </c>
      <c r="AH349" s="368" t="s">
        <v>515</v>
      </c>
      <c r="AI349" s="368">
        <v>5220</v>
      </c>
      <c r="AJ349" s="368" t="s">
        <v>515</v>
      </c>
      <c r="AK349" s="368">
        <v>5020</v>
      </c>
      <c r="AL349" s="368" t="s">
        <v>515</v>
      </c>
      <c r="AM349" s="368">
        <f t="shared" si="9"/>
        <v>67840</v>
      </c>
    </row>
    <row r="350" spans="1:39" s="90" customFormat="1" ht="18" customHeight="1" x14ac:dyDescent="0.3">
      <c r="A350" s="432"/>
      <c r="B350" s="423"/>
      <c r="C350" s="12"/>
      <c r="D350" s="156"/>
      <c r="E350" s="31" t="s">
        <v>48</v>
      </c>
      <c r="F350" s="23" t="s">
        <v>49</v>
      </c>
      <c r="G350" s="374" t="s">
        <v>571</v>
      </c>
      <c r="H350" s="133">
        <v>699</v>
      </c>
      <c r="I350" s="156" t="s">
        <v>525</v>
      </c>
      <c r="J350" s="133">
        <v>14</v>
      </c>
      <c r="K350" s="330" t="s">
        <v>218</v>
      </c>
      <c r="L350" s="330" t="s">
        <v>218</v>
      </c>
      <c r="M350" s="24">
        <v>111930</v>
      </c>
      <c r="N350" s="330">
        <v>131340</v>
      </c>
      <c r="O350" s="368">
        <v>12090</v>
      </c>
      <c r="P350" s="368" t="s">
        <v>515</v>
      </c>
      <c r="Q350" s="368">
        <v>9810</v>
      </c>
      <c r="R350" s="368" t="s">
        <v>515</v>
      </c>
      <c r="S350" s="368">
        <v>10095</v>
      </c>
      <c r="T350" s="368" t="s">
        <v>515</v>
      </c>
      <c r="U350" s="368">
        <v>11355</v>
      </c>
      <c r="V350" s="368" t="s">
        <v>515</v>
      </c>
      <c r="W350" s="368">
        <v>8865</v>
      </c>
      <c r="X350" s="368" t="s">
        <v>515</v>
      </c>
      <c r="Y350" s="368">
        <v>8610</v>
      </c>
      <c r="Z350" s="368" t="s">
        <v>515</v>
      </c>
      <c r="AA350" s="368">
        <v>9750</v>
      </c>
      <c r="AB350" s="368" t="s">
        <v>515</v>
      </c>
      <c r="AC350" s="368">
        <v>8745</v>
      </c>
      <c r="AD350" s="368" t="s">
        <v>515</v>
      </c>
      <c r="AE350" s="368">
        <v>9885</v>
      </c>
      <c r="AF350" s="368" t="s">
        <v>515</v>
      </c>
      <c r="AG350" s="368">
        <v>9720</v>
      </c>
      <c r="AH350" s="368" t="s">
        <v>515</v>
      </c>
      <c r="AI350" s="368">
        <v>10755</v>
      </c>
      <c r="AJ350" s="368" t="s">
        <v>515</v>
      </c>
      <c r="AK350" s="368">
        <v>10500</v>
      </c>
      <c r="AL350" s="368" t="s">
        <v>515</v>
      </c>
      <c r="AM350" s="368">
        <f t="shared" si="9"/>
        <v>120180</v>
      </c>
    </row>
    <row r="351" spans="1:39" s="90" customFormat="1" ht="18" customHeight="1" x14ac:dyDescent="0.3">
      <c r="A351" s="431">
        <v>171</v>
      </c>
      <c r="B351" s="422" t="s">
        <v>749</v>
      </c>
      <c r="C351" s="11" t="s">
        <v>512</v>
      </c>
      <c r="D351" s="156" t="s">
        <v>572</v>
      </c>
      <c r="E351" s="31" t="s">
        <v>364</v>
      </c>
      <c r="F351" s="23" t="s">
        <v>49</v>
      </c>
      <c r="G351" s="374"/>
      <c r="H351" s="133"/>
      <c r="I351" s="156"/>
      <c r="J351" s="133"/>
      <c r="K351" s="330" t="s">
        <v>218</v>
      </c>
      <c r="L351" s="330" t="s">
        <v>218</v>
      </c>
      <c r="M351" s="24">
        <v>23940</v>
      </c>
      <c r="N351" s="330">
        <v>38120</v>
      </c>
      <c r="O351" s="368">
        <v>3320</v>
      </c>
      <c r="P351" s="368" t="s">
        <v>515</v>
      </c>
      <c r="Q351" s="368">
        <v>2840</v>
      </c>
      <c r="R351" s="368" t="s">
        <v>515</v>
      </c>
      <c r="S351" s="368">
        <v>3040</v>
      </c>
      <c r="T351" s="368" t="s">
        <v>515</v>
      </c>
      <c r="U351" s="368">
        <v>3800</v>
      </c>
      <c r="V351" s="368" t="s">
        <v>515</v>
      </c>
      <c r="W351" s="368">
        <v>3040</v>
      </c>
      <c r="X351" s="368" t="s">
        <v>515</v>
      </c>
      <c r="Y351" s="368">
        <v>2880</v>
      </c>
      <c r="Z351" s="368" t="s">
        <v>515</v>
      </c>
      <c r="AA351" s="368">
        <v>3040</v>
      </c>
      <c r="AB351" s="368" t="s">
        <v>515</v>
      </c>
      <c r="AC351" s="368">
        <v>2700</v>
      </c>
      <c r="AD351" s="368" t="s">
        <v>515</v>
      </c>
      <c r="AE351" s="368">
        <v>3320</v>
      </c>
      <c r="AF351" s="368" t="s">
        <v>515</v>
      </c>
      <c r="AG351" s="368">
        <v>3240</v>
      </c>
      <c r="AH351" s="368" t="s">
        <v>515</v>
      </c>
      <c r="AI351" s="368">
        <v>3180</v>
      </c>
      <c r="AJ351" s="368" t="s">
        <v>515</v>
      </c>
      <c r="AK351" s="368">
        <v>3000</v>
      </c>
      <c r="AL351" s="368" t="s">
        <v>515</v>
      </c>
      <c r="AM351" s="368">
        <f t="shared" si="9"/>
        <v>37400</v>
      </c>
    </row>
    <row r="352" spans="1:39" s="90" customFormat="1" ht="18" customHeight="1" x14ac:dyDescent="0.3">
      <c r="A352" s="432"/>
      <c r="B352" s="423"/>
      <c r="C352" s="12"/>
      <c r="D352" s="156"/>
      <c r="E352" s="31" t="s">
        <v>48</v>
      </c>
      <c r="F352" s="23" t="s">
        <v>49</v>
      </c>
      <c r="G352" s="374" t="s">
        <v>518</v>
      </c>
      <c r="H352" s="133">
        <v>413</v>
      </c>
      <c r="I352" s="156" t="s">
        <v>525</v>
      </c>
      <c r="J352" s="133">
        <v>8</v>
      </c>
      <c r="K352" s="330" t="s">
        <v>218</v>
      </c>
      <c r="L352" s="330" t="s">
        <v>218</v>
      </c>
      <c r="M352" s="24">
        <v>111500</v>
      </c>
      <c r="N352" s="330">
        <v>115320</v>
      </c>
      <c r="O352" s="368">
        <v>10150</v>
      </c>
      <c r="P352" s="368" t="s">
        <v>515</v>
      </c>
      <c r="Q352" s="368">
        <v>8220</v>
      </c>
      <c r="R352" s="368" t="s">
        <v>515</v>
      </c>
      <c r="S352" s="368">
        <v>8500</v>
      </c>
      <c r="T352" s="368" t="s">
        <v>515</v>
      </c>
      <c r="U352" s="368">
        <v>9620</v>
      </c>
      <c r="V352" s="368" t="s">
        <v>515</v>
      </c>
      <c r="W352" s="368">
        <v>8140</v>
      </c>
      <c r="X352" s="368" t="s">
        <v>515</v>
      </c>
      <c r="Y352" s="368">
        <v>8020</v>
      </c>
      <c r="Z352" s="368" t="s">
        <v>515</v>
      </c>
      <c r="AA352" s="368">
        <v>9480</v>
      </c>
      <c r="AB352" s="368" t="s">
        <v>515</v>
      </c>
      <c r="AC352" s="368">
        <v>7950</v>
      </c>
      <c r="AD352" s="368" t="s">
        <v>515</v>
      </c>
      <c r="AE352" s="368">
        <v>9090</v>
      </c>
      <c r="AF352" s="368" t="s">
        <v>515</v>
      </c>
      <c r="AG352" s="368">
        <v>8850</v>
      </c>
      <c r="AH352" s="368" t="s">
        <v>515</v>
      </c>
      <c r="AI352" s="368">
        <v>8950</v>
      </c>
      <c r="AJ352" s="368" t="s">
        <v>515</v>
      </c>
      <c r="AK352" s="368">
        <v>8970</v>
      </c>
      <c r="AL352" s="368" t="s">
        <v>515</v>
      </c>
      <c r="AM352" s="368">
        <f t="shared" si="9"/>
        <v>105940</v>
      </c>
    </row>
    <row r="353" spans="1:39" s="90" customFormat="1" ht="18" customHeight="1" x14ac:dyDescent="0.3">
      <c r="A353" s="431">
        <v>172</v>
      </c>
      <c r="B353" s="422" t="s">
        <v>750</v>
      </c>
      <c r="C353" s="11" t="s">
        <v>512</v>
      </c>
      <c r="D353" s="156" t="s">
        <v>516</v>
      </c>
      <c r="E353" s="31" t="s">
        <v>364</v>
      </c>
      <c r="F353" s="23" t="s">
        <v>49</v>
      </c>
      <c r="G353" s="374"/>
      <c r="H353" s="133"/>
      <c r="I353" s="156"/>
      <c r="J353" s="133"/>
      <c r="K353" s="330" t="s">
        <v>218</v>
      </c>
      <c r="L353" s="330" t="s">
        <v>218</v>
      </c>
      <c r="M353" s="24">
        <v>70720</v>
      </c>
      <c r="N353" s="330">
        <v>73920</v>
      </c>
      <c r="O353" s="368">
        <v>5820</v>
      </c>
      <c r="P353" s="368" t="s">
        <v>515</v>
      </c>
      <c r="Q353" s="368">
        <v>5660</v>
      </c>
      <c r="R353" s="368" t="s">
        <v>515</v>
      </c>
      <c r="S353" s="368">
        <v>5420</v>
      </c>
      <c r="T353" s="368" t="s">
        <v>515</v>
      </c>
      <c r="U353" s="368">
        <v>7180</v>
      </c>
      <c r="V353" s="368" t="s">
        <v>515</v>
      </c>
      <c r="W353" s="368">
        <v>6140</v>
      </c>
      <c r="X353" s="368" t="s">
        <v>515</v>
      </c>
      <c r="Y353" s="368">
        <v>5200</v>
      </c>
      <c r="Z353" s="368" t="s">
        <v>515</v>
      </c>
      <c r="AA353" s="368">
        <v>5480</v>
      </c>
      <c r="AB353" s="368" t="s">
        <v>515</v>
      </c>
      <c r="AC353" s="368">
        <v>4980</v>
      </c>
      <c r="AD353" s="368" t="s">
        <v>515</v>
      </c>
      <c r="AE353" s="368">
        <v>5960</v>
      </c>
      <c r="AF353" s="368" t="s">
        <v>515</v>
      </c>
      <c r="AG353" s="368">
        <v>5820</v>
      </c>
      <c r="AH353" s="368" t="s">
        <v>515</v>
      </c>
      <c r="AI353" s="368">
        <v>5220</v>
      </c>
      <c r="AJ353" s="368" t="s">
        <v>515</v>
      </c>
      <c r="AK353" s="368">
        <v>5940</v>
      </c>
      <c r="AL353" s="368" t="s">
        <v>515</v>
      </c>
      <c r="AM353" s="368">
        <f t="shared" si="9"/>
        <v>68820</v>
      </c>
    </row>
    <row r="354" spans="1:39" s="90" customFormat="1" ht="18" customHeight="1" x14ac:dyDescent="0.3">
      <c r="A354" s="432"/>
      <c r="B354" s="423"/>
      <c r="C354" s="12"/>
      <c r="D354" s="156"/>
      <c r="E354" s="31" t="s">
        <v>48</v>
      </c>
      <c r="F354" s="23" t="s">
        <v>49</v>
      </c>
      <c r="G354" s="374" t="s">
        <v>518</v>
      </c>
      <c r="H354" s="133">
        <v>946</v>
      </c>
      <c r="I354" s="156" t="s">
        <v>525</v>
      </c>
      <c r="J354" s="133">
        <v>22</v>
      </c>
      <c r="K354" s="330" t="s">
        <v>218</v>
      </c>
      <c r="L354" s="330" t="s">
        <v>218</v>
      </c>
      <c r="M354" s="24">
        <v>162991</v>
      </c>
      <c r="N354" s="330">
        <v>181026</v>
      </c>
      <c r="O354" s="368">
        <v>16103</v>
      </c>
      <c r="P354" s="368" t="s">
        <v>515</v>
      </c>
      <c r="Q354" s="368">
        <v>14803</v>
      </c>
      <c r="R354" s="368" t="s">
        <v>515</v>
      </c>
      <c r="S354" s="368">
        <v>13631</v>
      </c>
      <c r="T354" s="368" t="s">
        <v>515</v>
      </c>
      <c r="U354" s="368">
        <v>17057</v>
      </c>
      <c r="V354" s="368" t="s">
        <v>515</v>
      </c>
      <c r="W354" s="368">
        <v>14218</v>
      </c>
      <c r="X354" s="368" t="s">
        <v>515</v>
      </c>
      <c r="Y354" s="368">
        <v>11555</v>
      </c>
      <c r="Z354" s="368" t="s">
        <v>515</v>
      </c>
      <c r="AA354" s="368">
        <v>12736</v>
      </c>
      <c r="AB354" s="368" t="s">
        <v>515</v>
      </c>
      <c r="AC354" s="368">
        <v>11638</v>
      </c>
      <c r="AD354" s="368" t="s">
        <v>515</v>
      </c>
      <c r="AE354" s="368">
        <v>13866</v>
      </c>
      <c r="AF354" s="368" t="s">
        <v>515</v>
      </c>
      <c r="AG354" s="368">
        <v>14457</v>
      </c>
      <c r="AH354" s="368" t="s">
        <v>515</v>
      </c>
      <c r="AI354" s="368">
        <v>14024</v>
      </c>
      <c r="AJ354" s="368" t="s">
        <v>515</v>
      </c>
      <c r="AK354" s="368">
        <v>16434</v>
      </c>
      <c r="AL354" s="368" t="s">
        <v>515</v>
      </c>
      <c r="AM354" s="368">
        <f t="shared" si="9"/>
        <v>170522</v>
      </c>
    </row>
    <row r="355" spans="1:39" s="90" customFormat="1" ht="18" customHeight="1" x14ac:dyDescent="0.3">
      <c r="A355" s="431">
        <v>173</v>
      </c>
      <c r="B355" s="422" t="s">
        <v>751</v>
      </c>
      <c r="C355" s="11" t="s">
        <v>512</v>
      </c>
      <c r="D355" s="156" t="s">
        <v>516</v>
      </c>
      <c r="E355" s="31" t="s">
        <v>364</v>
      </c>
      <c r="F355" s="23" t="s">
        <v>49</v>
      </c>
      <c r="G355" s="374"/>
      <c r="H355" s="133"/>
      <c r="I355" s="156"/>
      <c r="J355" s="133"/>
      <c r="K355" s="330" t="s">
        <v>218</v>
      </c>
      <c r="L355" s="330" t="s">
        <v>218</v>
      </c>
      <c r="M355" s="24">
        <v>14259</v>
      </c>
      <c r="N355" s="330">
        <v>14827</v>
      </c>
      <c r="O355" s="368">
        <v>1590</v>
      </c>
      <c r="P355" s="368" t="s">
        <v>515</v>
      </c>
      <c r="Q355" s="368">
        <v>1335</v>
      </c>
      <c r="R355" s="368" t="s">
        <v>515</v>
      </c>
      <c r="S355" s="368">
        <v>1142</v>
      </c>
      <c r="T355" s="368" t="s">
        <v>515</v>
      </c>
      <c r="U355" s="368">
        <v>1254</v>
      </c>
      <c r="V355" s="368" t="s">
        <v>515</v>
      </c>
      <c r="W355" s="368">
        <v>1279</v>
      </c>
      <c r="X355" s="368" t="s">
        <v>515</v>
      </c>
      <c r="Y355" s="368">
        <v>1177</v>
      </c>
      <c r="Z355" s="368" t="s">
        <v>515</v>
      </c>
      <c r="AA355" s="368">
        <v>1269</v>
      </c>
      <c r="AB355" s="368" t="s">
        <v>515</v>
      </c>
      <c r="AC355" s="368">
        <v>1097</v>
      </c>
      <c r="AD355" s="368" t="s">
        <v>515</v>
      </c>
      <c r="AE355" s="368">
        <v>1358</v>
      </c>
      <c r="AF355" s="368" t="s">
        <v>515</v>
      </c>
      <c r="AG355" s="368">
        <v>1147</v>
      </c>
      <c r="AH355" s="368" t="s">
        <v>515</v>
      </c>
      <c r="AI355" s="368">
        <v>1149</v>
      </c>
      <c r="AJ355" s="368" t="s">
        <v>515</v>
      </c>
      <c r="AK355" s="368">
        <v>1250</v>
      </c>
      <c r="AL355" s="368" t="s">
        <v>515</v>
      </c>
      <c r="AM355" s="368">
        <f t="shared" si="9"/>
        <v>15047</v>
      </c>
    </row>
    <row r="356" spans="1:39" s="90" customFormat="1" ht="18" customHeight="1" x14ac:dyDescent="0.3">
      <c r="A356" s="432"/>
      <c r="B356" s="423"/>
      <c r="C356" s="12"/>
      <c r="D356" s="156"/>
      <c r="E356" s="31" t="s">
        <v>48</v>
      </c>
      <c r="F356" s="23" t="s">
        <v>49</v>
      </c>
      <c r="G356" s="374" t="s">
        <v>530</v>
      </c>
      <c r="H356" s="133">
        <v>220</v>
      </c>
      <c r="I356" s="156"/>
      <c r="J356" s="133"/>
      <c r="K356" s="330" t="s">
        <v>218</v>
      </c>
      <c r="L356" s="330" t="s">
        <v>218</v>
      </c>
      <c r="M356" s="24">
        <v>19333</v>
      </c>
      <c r="N356" s="330">
        <v>18852</v>
      </c>
      <c r="O356" s="368">
        <v>2362</v>
      </c>
      <c r="P356" s="368" t="s">
        <v>515</v>
      </c>
      <c r="Q356" s="368">
        <v>1917</v>
      </c>
      <c r="R356" s="368" t="s">
        <v>515</v>
      </c>
      <c r="S356" s="368">
        <v>1438</v>
      </c>
      <c r="T356" s="368" t="s">
        <v>515</v>
      </c>
      <c r="U356" s="368">
        <v>1165</v>
      </c>
      <c r="V356" s="368" t="s">
        <v>515</v>
      </c>
      <c r="W356" s="368">
        <v>860</v>
      </c>
      <c r="X356" s="368" t="s">
        <v>515</v>
      </c>
      <c r="Y356" s="368">
        <v>718</v>
      </c>
      <c r="Z356" s="368" t="s">
        <v>515</v>
      </c>
      <c r="AA356" s="368">
        <v>981</v>
      </c>
      <c r="AB356" s="368" t="s">
        <v>515</v>
      </c>
      <c r="AC356" s="368">
        <v>858</v>
      </c>
      <c r="AD356" s="368" t="s">
        <v>515</v>
      </c>
      <c r="AE356" s="368">
        <v>1092</v>
      </c>
      <c r="AF356" s="368" t="s">
        <v>515</v>
      </c>
      <c r="AG356" s="368">
        <v>1245</v>
      </c>
      <c r="AH356" s="368" t="s">
        <v>515</v>
      </c>
      <c r="AI356" s="368">
        <v>1485</v>
      </c>
      <c r="AJ356" s="368" t="s">
        <v>515</v>
      </c>
      <c r="AK356" s="368">
        <v>1891</v>
      </c>
      <c r="AL356" s="368" t="s">
        <v>515</v>
      </c>
      <c r="AM356" s="368">
        <f t="shared" si="9"/>
        <v>16012</v>
      </c>
    </row>
    <row r="357" spans="1:39" s="90" customFormat="1" ht="18" customHeight="1" x14ac:dyDescent="0.3">
      <c r="A357" s="431">
        <v>174</v>
      </c>
      <c r="B357" s="422" t="s">
        <v>752</v>
      </c>
      <c r="C357" s="11" t="s">
        <v>512</v>
      </c>
      <c r="D357" s="156" t="s">
        <v>516</v>
      </c>
      <c r="E357" s="31" t="s">
        <v>364</v>
      </c>
      <c r="F357" s="23" t="s">
        <v>49</v>
      </c>
      <c r="G357" s="374"/>
      <c r="H357" s="133"/>
      <c r="I357" s="156"/>
      <c r="J357" s="133"/>
      <c r="K357" s="330"/>
      <c r="L357" s="330"/>
      <c r="M357" s="24"/>
      <c r="N357" s="330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68"/>
      <c r="Z357" s="368"/>
      <c r="AA357" s="368"/>
      <c r="AB357" s="368"/>
      <c r="AC357" s="368"/>
      <c r="AD357" s="368"/>
      <c r="AE357" s="368"/>
      <c r="AF357" s="368"/>
      <c r="AG357" s="368"/>
      <c r="AH357" s="368"/>
      <c r="AI357" s="368"/>
      <c r="AJ357" s="368"/>
      <c r="AK357" s="368"/>
      <c r="AL357" s="368"/>
      <c r="AM357" s="368"/>
    </row>
    <row r="358" spans="1:39" s="90" customFormat="1" ht="18" customHeight="1" x14ac:dyDescent="0.3">
      <c r="A358" s="432"/>
      <c r="B358" s="423"/>
      <c r="C358" s="12"/>
      <c r="D358" s="156"/>
      <c r="E358" s="31" t="s">
        <v>48</v>
      </c>
      <c r="F358" s="23" t="s">
        <v>49</v>
      </c>
      <c r="G358" s="374" t="s">
        <v>518</v>
      </c>
      <c r="H358" s="133">
        <v>77</v>
      </c>
      <c r="I358" s="156"/>
      <c r="J358" s="133"/>
      <c r="K358" s="330" t="s">
        <v>218</v>
      </c>
      <c r="L358" s="330" t="s">
        <v>218</v>
      </c>
      <c r="M358" s="24">
        <v>7384</v>
      </c>
      <c r="N358" s="330">
        <v>7431</v>
      </c>
      <c r="O358" s="368">
        <v>960</v>
      </c>
      <c r="P358" s="368" t="s">
        <v>515</v>
      </c>
      <c r="Q358" s="368">
        <v>990</v>
      </c>
      <c r="R358" s="368" t="s">
        <v>515</v>
      </c>
      <c r="S358" s="368">
        <v>631</v>
      </c>
      <c r="T358" s="368" t="s">
        <v>515</v>
      </c>
      <c r="U358" s="368">
        <v>603</v>
      </c>
      <c r="V358" s="368" t="s">
        <v>515</v>
      </c>
      <c r="W358" s="368">
        <v>405</v>
      </c>
      <c r="X358" s="368" t="s">
        <v>515</v>
      </c>
      <c r="Y358" s="368">
        <v>366</v>
      </c>
      <c r="Z358" s="368" t="s">
        <v>515</v>
      </c>
      <c r="AA358" s="368">
        <v>384</v>
      </c>
      <c r="AB358" s="368" t="s">
        <v>515</v>
      </c>
      <c r="AC358" s="368">
        <v>379</v>
      </c>
      <c r="AD358" s="368" t="s">
        <v>515</v>
      </c>
      <c r="AE358" s="368">
        <v>691</v>
      </c>
      <c r="AF358" s="368" t="s">
        <v>515</v>
      </c>
      <c r="AG358" s="368">
        <v>707</v>
      </c>
      <c r="AH358" s="368" t="s">
        <v>515</v>
      </c>
      <c r="AI358" s="368">
        <v>644</v>
      </c>
      <c r="AJ358" s="368" t="s">
        <v>515</v>
      </c>
      <c r="AK358" s="368">
        <v>847</v>
      </c>
      <c r="AL358" s="368" t="s">
        <v>515</v>
      </c>
      <c r="AM358" s="368">
        <f t="shared" ref="AM358:AM364" si="10">SUM(O358:AK358)</f>
        <v>7607</v>
      </c>
    </row>
    <row r="359" spans="1:39" s="90" customFormat="1" ht="18" customHeight="1" x14ac:dyDescent="0.3">
      <c r="A359" s="431">
        <v>175</v>
      </c>
      <c r="B359" s="422" t="s">
        <v>753</v>
      </c>
      <c r="C359" s="11" t="s">
        <v>512</v>
      </c>
      <c r="D359" s="156" t="s">
        <v>516</v>
      </c>
      <c r="E359" s="31" t="s">
        <v>364</v>
      </c>
      <c r="F359" s="23" t="s">
        <v>49</v>
      </c>
      <c r="G359" s="374"/>
      <c r="H359" s="133"/>
      <c r="I359" s="156"/>
      <c r="J359" s="133"/>
      <c r="K359" s="330" t="s">
        <v>218</v>
      </c>
      <c r="L359" s="330" t="s">
        <v>218</v>
      </c>
      <c r="M359" s="24">
        <v>13400</v>
      </c>
      <c r="N359" s="330">
        <v>14736</v>
      </c>
      <c r="O359" s="368">
        <v>1178</v>
      </c>
      <c r="P359" s="368" t="s">
        <v>515</v>
      </c>
      <c r="Q359" s="368">
        <v>1307</v>
      </c>
      <c r="R359" s="368" t="s">
        <v>515</v>
      </c>
      <c r="S359" s="368">
        <v>1162</v>
      </c>
      <c r="T359" s="368" t="s">
        <v>515</v>
      </c>
      <c r="U359" s="368">
        <v>1234</v>
      </c>
      <c r="V359" s="368" t="s">
        <v>515</v>
      </c>
      <c r="W359" s="368">
        <v>1262</v>
      </c>
      <c r="X359" s="368" t="s">
        <v>515</v>
      </c>
      <c r="Y359" s="368">
        <v>1230</v>
      </c>
      <c r="Z359" s="368" t="s">
        <v>515</v>
      </c>
      <c r="AA359" s="368">
        <v>1225</v>
      </c>
      <c r="AB359" s="368" t="s">
        <v>515</v>
      </c>
      <c r="AC359" s="368">
        <v>1015</v>
      </c>
      <c r="AD359" s="368" t="s">
        <v>515</v>
      </c>
      <c r="AE359" s="368">
        <v>1207</v>
      </c>
      <c r="AF359" s="368" t="s">
        <v>515</v>
      </c>
      <c r="AG359" s="368">
        <v>1046</v>
      </c>
      <c r="AH359" s="368" t="s">
        <v>515</v>
      </c>
      <c r="AI359" s="368">
        <v>1075</v>
      </c>
      <c r="AJ359" s="368" t="s">
        <v>515</v>
      </c>
      <c r="AK359" s="368">
        <v>1122</v>
      </c>
      <c r="AL359" s="368" t="s">
        <v>515</v>
      </c>
      <c r="AM359" s="368">
        <f t="shared" si="10"/>
        <v>14063</v>
      </c>
    </row>
    <row r="360" spans="1:39" s="90" customFormat="1" ht="18" customHeight="1" x14ac:dyDescent="0.3">
      <c r="A360" s="432"/>
      <c r="B360" s="423"/>
      <c r="C360" s="12"/>
      <c r="D360" s="156"/>
      <c r="E360" s="31" t="s">
        <v>48</v>
      </c>
      <c r="F360" s="23" t="s">
        <v>49</v>
      </c>
      <c r="G360" s="374" t="s">
        <v>573</v>
      </c>
      <c r="H360" s="133">
        <v>140</v>
      </c>
      <c r="I360" s="156"/>
      <c r="J360" s="133"/>
      <c r="K360" s="330" t="s">
        <v>218</v>
      </c>
      <c r="L360" s="330" t="s">
        <v>218</v>
      </c>
      <c r="M360" s="24">
        <v>19439</v>
      </c>
      <c r="N360" s="330">
        <v>20854</v>
      </c>
      <c r="O360" s="368">
        <v>3025</v>
      </c>
      <c r="P360" s="368" t="s">
        <v>515</v>
      </c>
      <c r="Q360" s="368">
        <v>3032</v>
      </c>
      <c r="R360" s="368" t="s">
        <v>515</v>
      </c>
      <c r="S360" s="368">
        <v>1953</v>
      </c>
      <c r="T360" s="368" t="s">
        <v>515</v>
      </c>
      <c r="U360" s="368">
        <v>1595</v>
      </c>
      <c r="V360" s="368" t="s">
        <v>515</v>
      </c>
      <c r="W360" s="368">
        <v>1517</v>
      </c>
      <c r="X360" s="368" t="s">
        <v>515</v>
      </c>
      <c r="Y360" s="368">
        <v>844</v>
      </c>
      <c r="Z360" s="368" t="s">
        <v>515</v>
      </c>
      <c r="AA360" s="368">
        <v>911</v>
      </c>
      <c r="AB360" s="368" t="s">
        <v>515</v>
      </c>
      <c r="AC360" s="368">
        <v>1136</v>
      </c>
      <c r="AD360" s="368" t="s">
        <v>515</v>
      </c>
      <c r="AE360" s="368">
        <v>1338</v>
      </c>
      <c r="AF360" s="368" t="s">
        <v>515</v>
      </c>
      <c r="AG360" s="368">
        <v>1569</v>
      </c>
      <c r="AH360" s="368" t="s">
        <v>515</v>
      </c>
      <c r="AI360" s="368">
        <v>1769</v>
      </c>
      <c r="AJ360" s="368" t="s">
        <v>515</v>
      </c>
      <c r="AK360" s="368">
        <v>1816</v>
      </c>
      <c r="AL360" s="368" t="s">
        <v>515</v>
      </c>
      <c r="AM360" s="368">
        <f t="shared" si="10"/>
        <v>20505</v>
      </c>
    </row>
    <row r="361" spans="1:39" s="90" customFormat="1" ht="18" customHeight="1" x14ac:dyDescent="0.3">
      <c r="A361" s="431">
        <v>176</v>
      </c>
      <c r="B361" s="422" t="s">
        <v>754</v>
      </c>
      <c r="C361" s="11" t="s">
        <v>512</v>
      </c>
      <c r="D361" s="156" t="s">
        <v>516</v>
      </c>
      <c r="E361" s="31" t="s">
        <v>364</v>
      </c>
      <c r="F361" s="23" t="s">
        <v>49</v>
      </c>
      <c r="G361" s="374"/>
      <c r="H361" s="133"/>
      <c r="I361" s="156"/>
      <c r="J361" s="133"/>
      <c r="K361" s="330" t="s">
        <v>218</v>
      </c>
      <c r="L361" s="330" t="s">
        <v>218</v>
      </c>
      <c r="M361" s="24">
        <v>2635</v>
      </c>
      <c r="N361" s="330">
        <v>2632</v>
      </c>
      <c r="O361" s="368">
        <v>254</v>
      </c>
      <c r="P361" s="368" t="s">
        <v>515</v>
      </c>
      <c r="Q361" s="368">
        <v>263</v>
      </c>
      <c r="R361" s="368" t="s">
        <v>515</v>
      </c>
      <c r="S361" s="368">
        <v>213</v>
      </c>
      <c r="T361" s="368" t="s">
        <v>515</v>
      </c>
      <c r="U361" s="368">
        <v>256</v>
      </c>
      <c r="V361" s="368" t="s">
        <v>515</v>
      </c>
      <c r="W361" s="368">
        <v>266</v>
      </c>
      <c r="X361" s="368" t="s">
        <v>515</v>
      </c>
      <c r="Y361" s="368">
        <v>235</v>
      </c>
      <c r="Z361" s="368" t="s">
        <v>515</v>
      </c>
      <c r="AA361" s="368">
        <v>248</v>
      </c>
      <c r="AB361" s="368" t="s">
        <v>515</v>
      </c>
      <c r="AC361" s="368">
        <v>251</v>
      </c>
      <c r="AD361" s="368" t="s">
        <v>515</v>
      </c>
      <c r="AE361" s="368">
        <v>245</v>
      </c>
      <c r="AF361" s="368" t="s">
        <v>515</v>
      </c>
      <c r="AG361" s="368">
        <v>220</v>
      </c>
      <c r="AH361" s="368" t="s">
        <v>515</v>
      </c>
      <c r="AI361" s="368">
        <v>224</v>
      </c>
      <c r="AJ361" s="368" t="s">
        <v>515</v>
      </c>
      <c r="AK361" s="368">
        <v>245</v>
      </c>
      <c r="AL361" s="368" t="s">
        <v>515</v>
      </c>
      <c r="AM361" s="368">
        <f t="shared" si="10"/>
        <v>2920</v>
      </c>
    </row>
    <row r="362" spans="1:39" s="90" customFormat="1" ht="18" customHeight="1" x14ac:dyDescent="0.3">
      <c r="A362" s="432"/>
      <c r="B362" s="423"/>
      <c r="C362" s="12"/>
      <c r="D362" s="156"/>
      <c r="E362" s="31" t="s">
        <v>48</v>
      </c>
      <c r="F362" s="23" t="s">
        <v>49</v>
      </c>
      <c r="G362" s="374" t="s">
        <v>554</v>
      </c>
      <c r="H362" s="133">
        <v>32</v>
      </c>
      <c r="I362" s="156"/>
      <c r="J362" s="133"/>
      <c r="K362" s="330" t="s">
        <v>218</v>
      </c>
      <c r="L362" s="330" t="s">
        <v>218</v>
      </c>
      <c r="M362" s="24">
        <v>3842</v>
      </c>
      <c r="N362" s="330">
        <v>4231</v>
      </c>
      <c r="O362" s="368">
        <v>426</v>
      </c>
      <c r="P362" s="368" t="s">
        <v>515</v>
      </c>
      <c r="Q362" s="368">
        <v>437</v>
      </c>
      <c r="R362" s="368" t="s">
        <v>515</v>
      </c>
      <c r="S362" s="368">
        <v>358</v>
      </c>
      <c r="T362" s="368" t="s">
        <v>515</v>
      </c>
      <c r="U362" s="368">
        <v>355</v>
      </c>
      <c r="V362" s="368" t="s">
        <v>515</v>
      </c>
      <c r="W362" s="368">
        <v>325</v>
      </c>
      <c r="X362" s="368" t="s">
        <v>515</v>
      </c>
      <c r="Y362" s="368">
        <v>246</v>
      </c>
      <c r="Z362" s="368" t="s">
        <v>515</v>
      </c>
      <c r="AA362" s="368">
        <v>267</v>
      </c>
      <c r="AB362" s="368" t="s">
        <v>515</v>
      </c>
      <c r="AC362" s="368">
        <v>249</v>
      </c>
      <c r="AD362" s="368" t="s">
        <v>515</v>
      </c>
      <c r="AE362" s="368">
        <v>228</v>
      </c>
      <c r="AF362" s="368" t="s">
        <v>515</v>
      </c>
      <c r="AG362" s="368">
        <v>215</v>
      </c>
      <c r="AH362" s="368" t="s">
        <v>515</v>
      </c>
      <c r="AI362" s="368">
        <v>231</v>
      </c>
      <c r="AJ362" s="368" t="s">
        <v>515</v>
      </c>
      <c r="AK362" s="368">
        <v>252</v>
      </c>
      <c r="AL362" s="368" t="s">
        <v>515</v>
      </c>
      <c r="AM362" s="368">
        <f t="shared" si="10"/>
        <v>3589</v>
      </c>
    </row>
    <row r="363" spans="1:39" s="90" customFormat="1" ht="18" customHeight="1" x14ac:dyDescent="0.3">
      <c r="A363" s="431">
        <v>177</v>
      </c>
      <c r="B363" s="422" t="s">
        <v>755</v>
      </c>
      <c r="C363" s="11" t="s">
        <v>512</v>
      </c>
      <c r="D363" s="156" t="s">
        <v>516</v>
      </c>
      <c r="E363" s="31" t="s">
        <v>364</v>
      </c>
      <c r="F363" s="23" t="s">
        <v>49</v>
      </c>
      <c r="G363" s="374"/>
      <c r="H363" s="133"/>
      <c r="I363" s="156"/>
      <c r="J363" s="133"/>
      <c r="K363" s="330" t="s">
        <v>218</v>
      </c>
      <c r="L363" s="330" t="s">
        <v>218</v>
      </c>
      <c r="M363" s="24">
        <v>3149</v>
      </c>
      <c r="N363" s="330">
        <v>3228</v>
      </c>
      <c r="O363" s="368">
        <v>308</v>
      </c>
      <c r="P363" s="368" t="s">
        <v>515</v>
      </c>
      <c r="Q363" s="368">
        <v>351</v>
      </c>
      <c r="R363" s="368" t="s">
        <v>515</v>
      </c>
      <c r="S363" s="368">
        <v>299</v>
      </c>
      <c r="T363" s="368" t="s">
        <v>515</v>
      </c>
      <c r="U363" s="368">
        <v>341</v>
      </c>
      <c r="V363" s="368" t="s">
        <v>515</v>
      </c>
      <c r="W363" s="368">
        <v>341</v>
      </c>
      <c r="X363" s="368" t="s">
        <v>515</v>
      </c>
      <c r="Y363" s="368">
        <v>323</v>
      </c>
      <c r="Z363" s="368" t="s">
        <v>515</v>
      </c>
      <c r="AA363" s="368">
        <v>347</v>
      </c>
      <c r="AB363" s="368" t="s">
        <v>515</v>
      </c>
      <c r="AC363" s="368">
        <v>314</v>
      </c>
      <c r="AD363" s="368" t="s">
        <v>515</v>
      </c>
      <c r="AE363" s="368">
        <v>332</v>
      </c>
      <c r="AF363" s="368" t="s">
        <v>515</v>
      </c>
      <c r="AG363" s="368">
        <v>284</v>
      </c>
      <c r="AH363" s="368" t="s">
        <v>515</v>
      </c>
      <c r="AI363" s="368">
        <v>297</v>
      </c>
      <c r="AJ363" s="368" t="s">
        <v>515</v>
      </c>
      <c r="AK363" s="368">
        <v>297</v>
      </c>
      <c r="AL363" s="368" t="s">
        <v>515</v>
      </c>
      <c r="AM363" s="368">
        <f t="shared" si="10"/>
        <v>3834</v>
      </c>
    </row>
    <row r="364" spans="1:39" s="90" customFormat="1" ht="18" customHeight="1" x14ac:dyDescent="0.3">
      <c r="A364" s="432"/>
      <c r="B364" s="423"/>
      <c r="C364" s="12"/>
      <c r="D364" s="156"/>
      <c r="E364" s="31" t="s">
        <v>48</v>
      </c>
      <c r="F364" s="23" t="s">
        <v>49</v>
      </c>
      <c r="G364" s="374" t="s">
        <v>554</v>
      </c>
      <c r="H364" s="133">
        <v>32</v>
      </c>
      <c r="I364" s="156"/>
      <c r="J364" s="133"/>
      <c r="K364" s="330" t="s">
        <v>218</v>
      </c>
      <c r="L364" s="330" t="s">
        <v>218</v>
      </c>
      <c r="M364" s="24">
        <v>4882</v>
      </c>
      <c r="N364" s="330">
        <v>3499</v>
      </c>
      <c r="O364" s="368">
        <v>847</v>
      </c>
      <c r="P364" s="368" t="s">
        <v>515</v>
      </c>
      <c r="Q364" s="368">
        <v>248</v>
      </c>
      <c r="R364" s="368" t="s">
        <v>515</v>
      </c>
      <c r="S364" s="368">
        <v>326</v>
      </c>
      <c r="T364" s="368" t="s">
        <v>515</v>
      </c>
      <c r="U364" s="368">
        <v>347</v>
      </c>
      <c r="V364" s="368" t="s">
        <v>515</v>
      </c>
      <c r="W364" s="368">
        <v>348</v>
      </c>
      <c r="X364" s="368" t="s">
        <v>515</v>
      </c>
      <c r="Y364" s="368">
        <v>325</v>
      </c>
      <c r="Z364" s="368" t="s">
        <v>515</v>
      </c>
      <c r="AA364" s="368">
        <v>403</v>
      </c>
      <c r="AB364" s="368" t="s">
        <v>515</v>
      </c>
      <c r="AC364" s="368">
        <v>408</v>
      </c>
      <c r="AD364" s="368" t="s">
        <v>515</v>
      </c>
      <c r="AE364" s="368">
        <v>395</v>
      </c>
      <c r="AF364" s="368" t="s">
        <v>515</v>
      </c>
      <c r="AG364" s="368">
        <v>500</v>
      </c>
      <c r="AH364" s="368" t="s">
        <v>515</v>
      </c>
      <c r="AI364" s="368">
        <v>492</v>
      </c>
      <c r="AJ364" s="368" t="s">
        <v>515</v>
      </c>
      <c r="AK364" s="368">
        <v>304</v>
      </c>
      <c r="AL364" s="368" t="s">
        <v>515</v>
      </c>
      <c r="AM364" s="368">
        <f t="shared" si="10"/>
        <v>4943</v>
      </c>
    </row>
    <row r="365" spans="1:39" s="90" customFormat="1" ht="18" customHeight="1" x14ac:dyDescent="0.3">
      <c r="A365" s="431">
        <v>178</v>
      </c>
      <c r="B365" s="422" t="s">
        <v>756</v>
      </c>
      <c r="C365" s="11" t="s">
        <v>512</v>
      </c>
      <c r="D365" s="156" t="s">
        <v>516</v>
      </c>
      <c r="E365" s="31" t="s">
        <v>364</v>
      </c>
      <c r="F365" s="23" t="s">
        <v>49</v>
      </c>
      <c r="G365" s="374"/>
      <c r="H365" s="133"/>
      <c r="I365" s="156"/>
      <c r="J365" s="133"/>
      <c r="K365" s="330"/>
      <c r="L365" s="330"/>
      <c r="M365" s="24"/>
      <c r="N365" s="330"/>
      <c r="O365" s="368"/>
      <c r="P365" s="368"/>
      <c r="Q365" s="368"/>
      <c r="R365" s="368"/>
      <c r="S365" s="368"/>
      <c r="T365" s="368"/>
      <c r="U365" s="368"/>
      <c r="V365" s="368"/>
      <c r="W365" s="368"/>
      <c r="X365" s="368"/>
      <c r="Y365" s="368"/>
      <c r="Z365" s="368"/>
      <c r="AA365" s="368"/>
      <c r="AB365" s="368"/>
      <c r="AC365" s="368"/>
      <c r="AD365" s="368"/>
      <c r="AE365" s="368"/>
      <c r="AF365" s="368"/>
      <c r="AG365" s="368"/>
      <c r="AH365" s="368"/>
      <c r="AI365" s="368"/>
      <c r="AJ365" s="368"/>
      <c r="AK365" s="368"/>
      <c r="AL365" s="368"/>
      <c r="AM365" s="368"/>
    </row>
    <row r="366" spans="1:39" s="90" customFormat="1" ht="18" customHeight="1" x14ac:dyDescent="0.3">
      <c r="A366" s="432"/>
      <c r="B366" s="423"/>
      <c r="C366" s="12"/>
      <c r="D366" s="156"/>
      <c r="E366" s="31" t="s">
        <v>48</v>
      </c>
      <c r="F366" s="23" t="s">
        <v>49</v>
      </c>
      <c r="G366" s="374" t="s">
        <v>539</v>
      </c>
      <c r="H366" s="133">
        <v>77</v>
      </c>
      <c r="I366" s="156"/>
      <c r="J366" s="133"/>
      <c r="K366" s="330" t="s">
        <v>218</v>
      </c>
      <c r="L366" s="330" t="s">
        <v>218</v>
      </c>
      <c r="M366" s="24">
        <v>11726</v>
      </c>
      <c r="N366" s="330">
        <v>11470</v>
      </c>
      <c r="O366" s="368">
        <v>957</v>
      </c>
      <c r="P366" s="368" t="s">
        <v>515</v>
      </c>
      <c r="Q366" s="368">
        <v>308</v>
      </c>
      <c r="R366" s="368" t="s">
        <v>515</v>
      </c>
      <c r="S366" s="368">
        <v>274</v>
      </c>
      <c r="T366" s="368" t="s">
        <v>515</v>
      </c>
      <c r="U366" s="368">
        <v>239</v>
      </c>
      <c r="V366" s="368" t="s">
        <v>515</v>
      </c>
      <c r="W366" s="368">
        <v>241</v>
      </c>
      <c r="X366" s="368" t="s">
        <v>515</v>
      </c>
      <c r="Y366" s="368">
        <v>215</v>
      </c>
      <c r="Z366" s="368" t="s">
        <v>515</v>
      </c>
      <c r="AA366" s="368">
        <v>227</v>
      </c>
      <c r="AB366" s="368" t="s">
        <v>515</v>
      </c>
      <c r="AC366" s="368">
        <v>254</v>
      </c>
      <c r="AD366" s="368" t="s">
        <v>515</v>
      </c>
      <c r="AE366" s="368">
        <v>277</v>
      </c>
      <c r="AF366" s="368" t="s">
        <v>515</v>
      </c>
      <c r="AG366" s="368">
        <v>339</v>
      </c>
      <c r="AH366" s="368" t="s">
        <v>515</v>
      </c>
      <c r="AI366" s="368">
        <v>425</v>
      </c>
      <c r="AJ366" s="368" t="s">
        <v>515</v>
      </c>
      <c r="AK366" s="368">
        <v>588</v>
      </c>
      <c r="AL366" s="368" t="s">
        <v>515</v>
      </c>
      <c r="AM366" s="368">
        <f>SUM(O366:AK366)</f>
        <v>4344</v>
      </c>
    </row>
    <row r="367" spans="1:39" s="90" customFormat="1" ht="18" customHeight="1" x14ac:dyDescent="0.3">
      <c r="A367" s="431">
        <v>179</v>
      </c>
      <c r="B367" s="422" t="s">
        <v>757</v>
      </c>
      <c r="C367" s="11" t="s">
        <v>512</v>
      </c>
      <c r="D367" s="156" t="s">
        <v>574</v>
      </c>
      <c r="E367" s="31" t="s">
        <v>364</v>
      </c>
      <c r="F367" s="23" t="s">
        <v>49</v>
      </c>
      <c r="G367" s="374"/>
      <c r="H367" s="133"/>
      <c r="I367" s="156"/>
      <c r="J367" s="133"/>
      <c r="K367" s="448" t="s">
        <v>218</v>
      </c>
      <c r="L367" s="448" t="s">
        <v>218</v>
      </c>
      <c r="M367" s="450">
        <v>14712</v>
      </c>
      <c r="N367" s="452">
        <v>14381</v>
      </c>
      <c r="O367" s="446">
        <v>1525</v>
      </c>
      <c r="P367" s="446" t="s">
        <v>515</v>
      </c>
      <c r="Q367" s="446">
        <v>1343</v>
      </c>
      <c r="R367" s="446" t="s">
        <v>515</v>
      </c>
      <c r="S367" s="446">
        <v>1169</v>
      </c>
      <c r="T367" s="446" t="s">
        <v>515</v>
      </c>
      <c r="U367" s="446">
        <v>1089</v>
      </c>
      <c r="V367" s="446" t="s">
        <v>515</v>
      </c>
      <c r="W367" s="446">
        <v>807</v>
      </c>
      <c r="X367" s="446" t="s">
        <v>515</v>
      </c>
      <c r="Y367" s="446">
        <v>795</v>
      </c>
      <c r="Z367" s="446" t="s">
        <v>515</v>
      </c>
      <c r="AA367" s="446">
        <v>805</v>
      </c>
      <c r="AB367" s="446" t="s">
        <v>515</v>
      </c>
      <c r="AC367" s="446">
        <v>883</v>
      </c>
      <c r="AD367" s="446" t="s">
        <v>515</v>
      </c>
      <c r="AE367" s="446">
        <v>1092</v>
      </c>
      <c r="AF367" s="446" t="s">
        <v>515</v>
      </c>
      <c r="AG367" s="446">
        <v>1027</v>
      </c>
      <c r="AH367" s="446" t="s">
        <v>515</v>
      </c>
      <c r="AI367" s="446">
        <v>1159</v>
      </c>
      <c r="AJ367" s="446" t="s">
        <v>515</v>
      </c>
      <c r="AK367" s="446">
        <v>1379</v>
      </c>
      <c r="AL367" s="446" t="s">
        <v>515</v>
      </c>
      <c r="AM367" s="446">
        <f>SUM(O367:AK368)</f>
        <v>13073</v>
      </c>
    </row>
    <row r="368" spans="1:39" s="90" customFormat="1" ht="18" customHeight="1" x14ac:dyDescent="0.3">
      <c r="A368" s="432"/>
      <c r="B368" s="423"/>
      <c r="C368" s="12"/>
      <c r="D368" s="156"/>
      <c r="E368" s="31" t="s">
        <v>48</v>
      </c>
      <c r="F368" s="23" t="s">
        <v>49</v>
      </c>
      <c r="G368" s="374" t="s">
        <v>535</v>
      </c>
      <c r="H368" s="133">
        <v>35</v>
      </c>
      <c r="I368" s="156" t="s">
        <v>525</v>
      </c>
      <c r="J368" s="133">
        <v>5</v>
      </c>
      <c r="K368" s="449"/>
      <c r="L368" s="449"/>
      <c r="M368" s="451"/>
      <c r="N368" s="453"/>
      <c r="O368" s="447"/>
      <c r="P368" s="447"/>
      <c r="Q368" s="447"/>
      <c r="R368" s="447"/>
      <c r="S368" s="447"/>
      <c r="T368" s="447"/>
      <c r="U368" s="447"/>
      <c r="V368" s="447"/>
      <c r="W368" s="447"/>
      <c r="X368" s="447"/>
      <c r="Y368" s="447"/>
      <c r="Z368" s="447"/>
      <c r="AA368" s="447"/>
      <c r="AB368" s="447"/>
      <c r="AC368" s="447"/>
      <c r="AD368" s="447"/>
      <c r="AE368" s="447"/>
      <c r="AF368" s="447"/>
      <c r="AG368" s="447"/>
      <c r="AH368" s="447"/>
      <c r="AI368" s="447"/>
      <c r="AJ368" s="447"/>
      <c r="AK368" s="447"/>
      <c r="AL368" s="447"/>
      <c r="AM368" s="447"/>
    </row>
    <row r="369" spans="1:39" s="90" customFormat="1" ht="18" customHeight="1" x14ac:dyDescent="0.3">
      <c r="A369" s="431">
        <v>180</v>
      </c>
      <c r="B369" s="422" t="s">
        <v>758</v>
      </c>
      <c r="C369" s="11" t="s">
        <v>512</v>
      </c>
      <c r="D369" s="156" t="s">
        <v>575</v>
      </c>
      <c r="E369" s="31" t="s">
        <v>364</v>
      </c>
      <c r="F369" s="23" t="s">
        <v>49</v>
      </c>
      <c r="G369" s="374"/>
      <c r="H369" s="133"/>
      <c r="I369" s="156"/>
      <c r="J369" s="133"/>
      <c r="K369" s="330" t="s">
        <v>218</v>
      </c>
      <c r="L369" s="330" t="s">
        <v>218</v>
      </c>
      <c r="M369" s="24">
        <v>0</v>
      </c>
      <c r="N369" s="330">
        <v>6992</v>
      </c>
      <c r="O369" s="368">
        <v>527</v>
      </c>
      <c r="P369" s="368" t="s">
        <v>515</v>
      </c>
      <c r="Q369" s="368">
        <v>588</v>
      </c>
      <c r="R369" s="368" t="s">
        <v>515</v>
      </c>
      <c r="S369" s="368">
        <v>581</v>
      </c>
      <c r="T369" s="368" t="s">
        <v>515</v>
      </c>
      <c r="U369" s="368">
        <v>621</v>
      </c>
      <c r="V369" s="368" t="s">
        <v>515</v>
      </c>
      <c r="W369" s="368">
        <v>560</v>
      </c>
      <c r="X369" s="368" t="s">
        <v>515</v>
      </c>
      <c r="Y369" s="368">
        <v>557</v>
      </c>
      <c r="Z369" s="368" t="s">
        <v>515</v>
      </c>
      <c r="AA369" s="368">
        <v>562</v>
      </c>
      <c r="AB369" s="368" t="s">
        <v>515</v>
      </c>
      <c r="AC369" s="368">
        <v>525</v>
      </c>
      <c r="AD369" s="368" t="s">
        <v>515</v>
      </c>
      <c r="AE369" s="368">
        <v>599</v>
      </c>
      <c r="AF369" s="368" t="s">
        <v>515</v>
      </c>
      <c r="AG369" s="368">
        <v>509</v>
      </c>
      <c r="AH369" s="368" t="s">
        <v>515</v>
      </c>
      <c r="AI369" s="368">
        <v>537</v>
      </c>
      <c r="AJ369" s="368" t="s">
        <v>515</v>
      </c>
      <c r="AK369" s="368">
        <v>568</v>
      </c>
      <c r="AL369" s="368" t="s">
        <v>515</v>
      </c>
      <c r="AM369" s="368">
        <f t="shared" ref="AM369:AM380" si="11">SUM(O369:AK369)</f>
        <v>6734</v>
      </c>
    </row>
    <row r="370" spans="1:39" s="90" customFormat="1" ht="18" customHeight="1" x14ac:dyDescent="0.3">
      <c r="A370" s="432"/>
      <c r="B370" s="423"/>
      <c r="C370" s="12"/>
      <c r="D370" s="156"/>
      <c r="E370" s="31" t="s">
        <v>48</v>
      </c>
      <c r="F370" s="23" t="s">
        <v>49</v>
      </c>
      <c r="G370" s="374" t="s">
        <v>518</v>
      </c>
      <c r="H370" s="133">
        <v>98</v>
      </c>
      <c r="I370" s="156"/>
      <c r="J370" s="133"/>
      <c r="K370" s="330" t="s">
        <v>218</v>
      </c>
      <c r="L370" s="330" t="s">
        <v>218</v>
      </c>
      <c r="M370" s="24">
        <v>0</v>
      </c>
      <c r="N370" s="330">
        <v>17823</v>
      </c>
      <c r="O370" s="368">
        <v>1557</v>
      </c>
      <c r="P370" s="368" t="s">
        <v>515</v>
      </c>
      <c r="Q370" s="368">
        <v>1430</v>
      </c>
      <c r="R370" s="368" t="s">
        <v>515</v>
      </c>
      <c r="S370" s="368">
        <v>1414</v>
      </c>
      <c r="T370" s="368" t="s">
        <v>515</v>
      </c>
      <c r="U370" s="368">
        <v>1412</v>
      </c>
      <c r="V370" s="368" t="s">
        <v>515</v>
      </c>
      <c r="W370" s="368">
        <v>1135</v>
      </c>
      <c r="X370" s="368" t="s">
        <v>515</v>
      </c>
      <c r="Y370" s="368">
        <v>1082</v>
      </c>
      <c r="Z370" s="368" t="s">
        <v>515</v>
      </c>
      <c r="AA370" s="368">
        <v>1156</v>
      </c>
      <c r="AB370" s="368" t="s">
        <v>515</v>
      </c>
      <c r="AC370" s="368">
        <v>1032</v>
      </c>
      <c r="AD370" s="368" t="s">
        <v>515</v>
      </c>
      <c r="AE370" s="368">
        <v>1279</v>
      </c>
      <c r="AF370" s="368" t="s">
        <v>515</v>
      </c>
      <c r="AG370" s="368">
        <v>1563</v>
      </c>
      <c r="AH370" s="368" t="s">
        <v>515</v>
      </c>
      <c r="AI370" s="368">
        <v>1733</v>
      </c>
      <c r="AJ370" s="368" t="s">
        <v>515</v>
      </c>
      <c r="AK370" s="368">
        <v>1776</v>
      </c>
      <c r="AL370" s="368" t="s">
        <v>515</v>
      </c>
      <c r="AM370" s="368">
        <f t="shared" si="11"/>
        <v>16569</v>
      </c>
    </row>
    <row r="371" spans="1:39" s="90" customFormat="1" ht="18" customHeight="1" x14ac:dyDescent="0.3">
      <c r="A371" s="431">
        <v>181</v>
      </c>
      <c r="B371" s="422" t="s">
        <v>759</v>
      </c>
      <c r="C371" s="11" t="s">
        <v>512</v>
      </c>
      <c r="D371" s="156" t="s">
        <v>516</v>
      </c>
      <c r="E371" s="31" t="s">
        <v>364</v>
      </c>
      <c r="F371" s="23" t="s">
        <v>49</v>
      </c>
      <c r="G371" s="374"/>
      <c r="H371" s="133"/>
      <c r="I371" s="156"/>
      <c r="J371" s="133"/>
      <c r="K371" s="330" t="s">
        <v>218</v>
      </c>
      <c r="L371" s="330" t="s">
        <v>218</v>
      </c>
      <c r="M371" s="24">
        <v>13242</v>
      </c>
      <c r="N371" s="330">
        <v>17414</v>
      </c>
      <c r="O371" s="368">
        <v>1512</v>
      </c>
      <c r="P371" s="368" t="s">
        <v>515</v>
      </c>
      <c r="Q371" s="368">
        <v>1572</v>
      </c>
      <c r="R371" s="368" t="s">
        <v>515</v>
      </c>
      <c r="S371" s="368">
        <v>1419</v>
      </c>
      <c r="T371" s="368" t="s">
        <v>515</v>
      </c>
      <c r="U371" s="368">
        <v>1620</v>
      </c>
      <c r="V371" s="368" t="s">
        <v>515</v>
      </c>
      <c r="W371" s="368">
        <v>1341</v>
      </c>
      <c r="X371" s="368" t="s">
        <v>515</v>
      </c>
      <c r="Y371" s="368">
        <v>1532</v>
      </c>
      <c r="Z371" s="368" t="s">
        <v>515</v>
      </c>
      <c r="AA371" s="368">
        <v>1404</v>
      </c>
      <c r="AB371" s="368" t="s">
        <v>515</v>
      </c>
      <c r="AC371" s="368">
        <v>1345</v>
      </c>
      <c r="AD371" s="368" t="s">
        <v>515</v>
      </c>
      <c r="AE371" s="368">
        <v>1632</v>
      </c>
      <c r="AF371" s="368" t="s">
        <v>515</v>
      </c>
      <c r="AG371" s="368">
        <v>1416</v>
      </c>
      <c r="AH371" s="368" t="s">
        <v>515</v>
      </c>
      <c r="AI371" s="368">
        <v>1455</v>
      </c>
      <c r="AJ371" s="368" t="s">
        <v>515</v>
      </c>
      <c r="AK371" s="368">
        <v>1619</v>
      </c>
      <c r="AL371" s="368" t="s">
        <v>515</v>
      </c>
      <c r="AM371" s="368">
        <f t="shared" si="11"/>
        <v>17867</v>
      </c>
    </row>
    <row r="372" spans="1:39" s="90" customFormat="1" ht="18" customHeight="1" x14ac:dyDescent="0.3">
      <c r="A372" s="432"/>
      <c r="B372" s="423"/>
      <c r="C372" s="12"/>
      <c r="D372" s="156"/>
      <c r="E372" s="31" t="s">
        <v>48</v>
      </c>
      <c r="F372" s="23" t="s">
        <v>49</v>
      </c>
      <c r="G372" s="374" t="s">
        <v>520</v>
      </c>
      <c r="H372" s="133">
        <v>200</v>
      </c>
      <c r="I372" s="156"/>
      <c r="J372" s="133"/>
      <c r="K372" s="330" t="s">
        <v>218</v>
      </c>
      <c r="L372" s="330" t="s">
        <v>218</v>
      </c>
      <c r="M372" s="24">
        <v>19606</v>
      </c>
      <c r="N372" s="330">
        <v>15898</v>
      </c>
      <c r="O372" s="368">
        <v>1606</v>
      </c>
      <c r="P372" s="368" t="s">
        <v>515</v>
      </c>
      <c r="Q372" s="368">
        <v>1207</v>
      </c>
      <c r="R372" s="368" t="s">
        <v>515</v>
      </c>
      <c r="S372" s="368">
        <v>958</v>
      </c>
      <c r="T372" s="368" t="s">
        <v>515</v>
      </c>
      <c r="U372" s="368">
        <v>861</v>
      </c>
      <c r="V372" s="368" t="s">
        <v>515</v>
      </c>
      <c r="W372" s="368">
        <v>528</v>
      </c>
      <c r="X372" s="368" t="s">
        <v>515</v>
      </c>
      <c r="Y372" s="368">
        <v>549</v>
      </c>
      <c r="Z372" s="368" t="s">
        <v>515</v>
      </c>
      <c r="AA372" s="368">
        <v>607</v>
      </c>
      <c r="AB372" s="368" t="s">
        <v>515</v>
      </c>
      <c r="AC372" s="368">
        <v>718</v>
      </c>
      <c r="AD372" s="368" t="s">
        <v>515</v>
      </c>
      <c r="AE372" s="368">
        <v>914</v>
      </c>
      <c r="AF372" s="368" t="s">
        <v>515</v>
      </c>
      <c r="AG372" s="368">
        <v>930</v>
      </c>
      <c r="AH372" s="368" t="s">
        <v>515</v>
      </c>
      <c r="AI372" s="368">
        <v>1148</v>
      </c>
      <c r="AJ372" s="368" t="s">
        <v>515</v>
      </c>
      <c r="AK372" s="368">
        <v>1313</v>
      </c>
      <c r="AL372" s="368" t="s">
        <v>515</v>
      </c>
      <c r="AM372" s="368">
        <f t="shared" si="11"/>
        <v>11339</v>
      </c>
    </row>
    <row r="373" spans="1:39" s="90" customFormat="1" ht="18" customHeight="1" x14ac:dyDescent="0.3">
      <c r="A373" s="431">
        <v>182</v>
      </c>
      <c r="B373" s="422" t="s">
        <v>760</v>
      </c>
      <c r="C373" s="11" t="s">
        <v>512</v>
      </c>
      <c r="D373" s="156" t="s">
        <v>516</v>
      </c>
      <c r="E373" s="31" t="s">
        <v>364</v>
      </c>
      <c r="F373" s="23" t="s">
        <v>49</v>
      </c>
      <c r="G373" s="374"/>
      <c r="H373" s="133"/>
      <c r="I373" s="156"/>
      <c r="J373" s="133"/>
      <c r="K373" s="330" t="s">
        <v>218</v>
      </c>
      <c r="L373" s="330" t="s">
        <v>218</v>
      </c>
      <c r="M373" s="24">
        <v>25526</v>
      </c>
      <c r="N373" s="330">
        <v>26505</v>
      </c>
      <c r="O373" s="368">
        <v>2387</v>
      </c>
      <c r="P373" s="368" t="s">
        <v>515</v>
      </c>
      <c r="Q373" s="368">
        <v>2166</v>
      </c>
      <c r="R373" s="368" t="s">
        <v>515</v>
      </c>
      <c r="S373" s="368">
        <v>2265</v>
      </c>
      <c r="T373" s="368" t="s">
        <v>515</v>
      </c>
      <c r="U373" s="368">
        <v>2092</v>
      </c>
      <c r="V373" s="368" t="s">
        <v>515</v>
      </c>
      <c r="W373" s="368">
        <v>2404</v>
      </c>
      <c r="X373" s="368" t="s">
        <v>515</v>
      </c>
      <c r="Y373" s="368">
        <v>2236</v>
      </c>
      <c r="Z373" s="368" t="s">
        <v>515</v>
      </c>
      <c r="AA373" s="368">
        <v>2154</v>
      </c>
      <c r="AB373" s="368" t="s">
        <v>515</v>
      </c>
      <c r="AC373" s="368">
        <v>1893</v>
      </c>
      <c r="AD373" s="368" t="s">
        <v>515</v>
      </c>
      <c r="AE373" s="368">
        <v>2210</v>
      </c>
      <c r="AF373" s="368" t="s">
        <v>515</v>
      </c>
      <c r="AG373" s="368">
        <v>2125</v>
      </c>
      <c r="AH373" s="368" t="s">
        <v>515</v>
      </c>
      <c r="AI373" s="368">
        <v>2632</v>
      </c>
      <c r="AJ373" s="368" t="s">
        <v>515</v>
      </c>
      <c r="AK373" s="368">
        <v>2016</v>
      </c>
      <c r="AL373" s="368" t="s">
        <v>515</v>
      </c>
      <c r="AM373" s="368">
        <f t="shared" si="11"/>
        <v>26580</v>
      </c>
    </row>
    <row r="374" spans="1:39" s="90" customFormat="1" ht="18" customHeight="1" x14ac:dyDescent="0.3">
      <c r="A374" s="432"/>
      <c r="B374" s="423"/>
      <c r="C374" s="12"/>
      <c r="D374" s="156"/>
      <c r="E374" s="31" t="s">
        <v>48</v>
      </c>
      <c r="F374" s="23" t="s">
        <v>49</v>
      </c>
      <c r="G374" s="374" t="s">
        <v>535</v>
      </c>
      <c r="H374" s="133">
        <v>360</v>
      </c>
      <c r="I374" s="156"/>
      <c r="J374" s="133"/>
      <c r="K374" s="330" t="s">
        <v>218</v>
      </c>
      <c r="L374" s="330" t="s">
        <v>218</v>
      </c>
      <c r="M374" s="24">
        <v>88273</v>
      </c>
      <c r="N374" s="330">
        <v>79040</v>
      </c>
      <c r="O374" s="368">
        <v>7648</v>
      </c>
      <c r="P374" s="368" t="s">
        <v>515</v>
      </c>
      <c r="Q374" s="368">
        <v>7519</v>
      </c>
      <c r="R374" s="368" t="s">
        <v>515</v>
      </c>
      <c r="S374" s="368">
        <v>7561</v>
      </c>
      <c r="T374" s="368" t="s">
        <v>515</v>
      </c>
      <c r="U374" s="368">
        <v>6552</v>
      </c>
      <c r="V374" s="368" t="s">
        <v>515</v>
      </c>
      <c r="W374" s="368">
        <v>7282</v>
      </c>
      <c r="X374" s="368" t="s">
        <v>515</v>
      </c>
      <c r="Y374" s="368">
        <v>6296</v>
      </c>
      <c r="Z374" s="368" t="s">
        <v>515</v>
      </c>
      <c r="AA374" s="368">
        <v>6325</v>
      </c>
      <c r="AB374" s="368" t="s">
        <v>515</v>
      </c>
      <c r="AC374" s="368">
        <v>5971</v>
      </c>
      <c r="AD374" s="368" t="s">
        <v>515</v>
      </c>
      <c r="AE374" s="368">
        <v>6447</v>
      </c>
      <c r="AF374" s="368" t="s">
        <v>515</v>
      </c>
      <c r="AG374" s="368">
        <v>6230</v>
      </c>
      <c r="AH374" s="368" t="s">
        <v>515</v>
      </c>
      <c r="AI374" s="368">
        <v>7968</v>
      </c>
      <c r="AJ374" s="368" t="s">
        <v>515</v>
      </c>
      <c r="AK374" s="368">
        <v>6541</v>
      </c>
      <c r="AL374" s="368" t="s">
        <v>515</v>
      </c>
      <c r="AM374" s="368">
        <f t="shared" si="11"/>
        <v>82340</v>
      </c>
    </row>
    <row r="375" spans="1:39" s="90" customFormat="1" ht="18" customHeight="1" x14ac:dyDescent="0.3">
      <c r="A375" s="431">
        <v>183</v>
      </c>
      <c r="B375" s="422" t="s">
        <v>761</v>
      </c>
      <c r="C375" s="11" t="s">
        <v>512</v>
      </c>
      <c r="D375" s="156" t="s">
        <v>516</v>
      </c>
      <c r="E375" s="31" t="s">
        <v>364</v>
      </c>
      <c r="F375" s="23" t="s">
        <v>49</v>
      </c>
      <c r="G375" s="374"/>
      <c r="H375" s="133"/>
      <c r="I375" s="156"/>
      <c r="J375" s="133"/>
      <c r="K375" s="330" t="s">
        <v>218</v>
      </c>
      <c r="L375" s="330" t="s">
        <v>218</v>
      </c>
      <c r="M375" s="24">
        <v>12070</v>
      </c>
      <c r="N375" s="330">
        <v>11576</v>
      </c>
      <c r="O375" s="368">
        <v>1162</v>
      </c>
      <c r="P375" s="368" t="s">
        <v>515</v>
      </c>
      <c r="Q375" s="368">
        <v>1004</v>
      </c>
      <c r="R375" s="368" t="s">
        <v>515</v>
      </c>
      <c r="S375" s="368">
        <v>1113</v>
      </c>
      <c r="T375" s="368" t="s">
        <v>515</v>
      </c>
      <c r="U375" s="368">
        <v>1116</v>
      </c>
      <c r="V375" s="368" t="s">
        <v>515</v>
      </c>
      <c r="W375" s="368">
        <v>1069</v>
      </c>
      <c r="X375" s="368" t="s">
        <v>515</v>
      </c>
      <c r="Y375" s="368">
        <v>1129</v>
      </c>
      <c r="Z375" s="368" t="s">
        <v>515</v>
      </c>
      <c r="AA375" s="368">
        <v>944</v>
      </c>
      <c r="AB375" s="368" t="s">
        <v>515</v>
      </c>
      <c r="AC375" s="368">
        <v>853</v>
      </c>
      <c r="AD375" s="368" t="s">
        <v>515</v>
      </c>
      <c r="AE375" s="368">
        <v>1158</v>
      </c>
      <c r="AF375" s="368" t="s">
        <v>515</v>
      </c>
      <c r="AG375" s="368">
        <v>982</v>
      </c>
      <c r="AH375" s="368" t="s">
        <v>515</v>
      </c>
      <c r="AI375" s="368">
        <v>1337</v>
      </c>
      <c r="AJ375" s="368" t="s">
        <v>515</v>
      </c>
      <c r="AK375" s="368">
        <v>1271</v>
      </c>
      <c r="AL375" s="368" t="s">
        <v>515</v>
      </c>
      <c r="AM375" s="368">
        <f t="shared" si="11"/>
        <v>13138</v>
      </c>
    </row>
    <row r="376" spans="1:39" s="90" customFormat="1" ht="18" customHeight="1" x14ac:dyDescent="0.3">
      <c r="A376" s="432"/>
      <c r="B376" s="423"/>
      <c r="C376" s="12"/>
      <c r="D376" s="156"/>
      <c r="E376" s="31" t="s">
        <v>48</v>
      </c>
      <c r="F376" s="23" t="s">
        <v>49</v>
      </c>
      <c r="G376" s="374" t="s">
        <v>521</v>
      </c>
      <c r="H376" s="133">
        <v>216</v>
      </c>
      <c r="I376" s="156"/>
      <c r="J376" s="133"/>
      <c r="K376" s="330" t="s">
        <v>218</v>
      </c>
      <c r="L376" s="330" t="s">
        <v>218</v>
      </c>
      <c r="M376" s="24">
        <v>16847</v>
      </c>
      <c r="N376" s="330">
        <v>18080</v>
      </c>
      <c r="O376" s="368">
        <v>2396</v>
      </c>
      <c r="P376" s="368" t="s">
        <v>515</v>
      </c>
      <c r="Q376" s="368">
        <v>1920</v>
      </c>
      <c r="R376" s="368" t="s">
        <v>515</v>
      </c>
      <c r="S376" s="368">
        <v>1771</v>
      </c>
      <c r="T376" s="368" t="s">
        <v>515</v>
      </c>
      <c r="U376" s="368">
        <v>1259</v>
      </c>
      <c r="V376" s="368" t="s">
        <v>515</v>
      </c>
      <c r="W376" s="368">
        <v>813</v>
      </c>
      <c r="X376" s="368" t="s">
        <v>515</v>
      </c>
      <c r="Y376" s="368">
        <v>602</v>
      </c>
      <c r="Z376" s="368" t="s">
        <v>515</v>
      </c>
      <c r="AA376" s="368">
        <v>468</v>
      </c>
      <c r="AB376" s="368" t="s">
        <v>515</v>
      </c>
      <c r="AC376" s="368">
        <v>573</v>
      </c>
      <c r="AD376" s="368" t="s">
        <v>515</v>
      </c>
      <c r="AE376" s="368">
        <v>1241</v>
      </c>
      <c r="AF376" s="368" t="s">
        <v>515</v>
      </c>
      <c r="AG376" s="368">
        <v>1336</v>
      </c>
      <c r="AH376" s="368" t="s">
        <v>515</v>
      </c>
      <c r="AI376" s="368">
        <v>2103</v>
      </c>
      <c r="AJ376" s="368" t="s">
        <v>515</v>
      </c>
      <c r="AK376" s="368">
        <v>2295</v>
      </c>
      <c r="AL376" s="368" t="s">
        <v>515</v>
      </c>
      <c r="AM376" s="368">
        <f t="shared" si="11"/>
        <v>16777</v>
      </c>
    </row>
    <row r="377" spans="1:39" s="90" customFormat="1" ht="18" customHeight="1" x14ac:dyDescent="0.3">
      <c r="A377" s="431">
        <v>184</v>
      </c>
      <c r="B377" s="422" t="s">
        <v>762</v>
      </c>
      <c r="C377" s="11" t="s">
        <v>512</v>
      </c>
      <c r="D377" s="156" t="s">
        <v>516</v>
      </c>
      <c r="E377" s="31" t="s">
        <v>364</v>
      </c>
      <c r="F377" s="23" t="s">
        <v>49</v>
      </c>
      <c r="G377" s="374"/>
      <c r="H377" s="133"/>
      <c r="I377" s="156"/>
      <c r="J377" s="133"/>
      <c r="K377" s="330" t="s">
        <v>218</v>
      </c>
      <c r="L377" s="330" t="s">
        <v>218</v>
      </c>
      <c r="M377" s="24">
        <v>8178</v>
      </c>
      <c r="N377" s="330">
        <v>9055</v>
      </c>
      <c r="O377" s="368">
        <v>767</v>
      </c>
      <c r="P377" s="368" t="s">
        <v>515</v>
      </c>
      <c r="Q377" s="368">
        <v>933</v>
      </c>
      <c r="R377" s="368" t="s">
        <v>515</v>
      </c>
      <c r="S377" s="368">
        <v>985</v>
      </c>
      <c r="T377" s="368" t="s">
        <v>515</v>
      </c>
      <c r="U377" s="368">
        <v>913</v>
      </c>
      <c r="V377" s="368" t="s">
        <v>515</v>
      </c>
      <c r="W377" s="368">
        <v>1028</v>
      </c>
      <c r="X377" s="368" t="s">
        <v>515</v>
      </c>
      <c r="Y377" s="368">
        <v>1015</v>
      </c>
      <c r="Z377" s="368" t="s">
        <v>515</v>
      </c>
      <c r="AA377" s="368">
        <v>879</v>
      </c>
      <c r="AB377" s="368" t="s">
        <v>515</v>
      </c>
      <c r="AC377" s="368">
        <v>805</v>
      </c>
      <c r="AD377" s="368" t="s">
        <v>515</v>
      </c>
      <c r="AE377" s="368">
        <v>1046</v>
      </c>
      <c r="AF377" s="368" t="s">
        <v>515</v>
      </c>
      <c r="AG377" s="368">
        <v>809</v>
      </c>
      <c r="AH377" s="368" t="s">
        <v>515</v>
      </c>
      <c r="AI377" s="368">
        <v>1145</v>
      </c>
      <c r="AJ377" s="368" t="s">
        <v>515</v>
      </c>
      <c r="AK377" s="368">
        <v>925</v>
      </c>
      <c r="AL377" s="368" t="s">
        <v>515</v>
      </c>
      <c r="AM377" s="368">
        <f t="shared" si="11"/>
        <v>11250</v>
      </c>
    </row>
    <row r="378" spans="1:39" s="90" customFormat="1" ht="18" customHeight="1" x14ac:dyDescent="0.3">
      <c r="A378" s="432"/>
      <c r="B378" s="423"/>
      <c r="C378" s="12"/>
      <c r="D378" s="156"/>
      <c r="E378" s="31" t="s">
        <v>48</v>
      </c>
      <c r="F378" s="23" t="s">
        <v>49</v>
      </c>
      <c r="G378" s="374" t="s">
        <v>559</v>
      </c>
      <c r="H378" s="133">
        <v>192</v>
      </c>
      <c r="I378" s="156"/>
      <c r="J378" s="133"/>
      <c r="K378" s="330" t="s">
        <v>218</v>
      </c>
      <c r="L378" s="330" t="s">
        <v>218</v>
      </c>
      <c r="M378" s="24">
        <v>15146</v>
      </c>
      <c r="N378" s="330">
        <v>10957</v>
      </c>
      <c r="O378" s="368">
        <v>1450</v>
      </c>
      <c r="P378" s="368" t="s">
        <v>515</v>
      </c>
      <c r="Q378" s="368">
        <v>1235</v>
      </c>
      <c r="R378" s="368" t="s">
        <v>515</v>
      </c>
      <c r="S378" s="368">
        <v>1089</v>
      </c>
      <c r="T378" s="368" t="s">
        <v>515</v>
      </c>
      <c r="U378" s="368">
        <v>748</v>
      </c>
      <c r="V378" s="368" t="s">
        <v>515</v>
      </c>
      <c r="W378" s="368">
        <v>724</v>
      </c>
      <c r="X378" s="368" t="s">
        <v>515</v>
      </c>
      <c r="Y378" s="368">
        <v>638</v>
      </c>
      <c r="Z378" s="368" t="s">
        <v>515</v>
      </c>
      <c r="AA378" s="368">
        <v>560</v>
      </c>
      <c r="AB378" s="368" t="s">
        <v>515</v>
      </c>
      <c r="AC378" s="368">
        <v>569</v>
      </c>
      <c r="AD378" s="368" t="s">
        <v>515</v>
      </c>
      <c r="AE378" s="368">
        <v>827</v>
      </c>
      <c r="AF378" s="368" t="s">
        <v>515</v>
      </c>
      <c r="AG378" s="368">
        <v>834</v>
      </c>
      <c r="AH378" s="368" t="s">
        <v>515</v>
      </c>
      <c r="AI378" s="368">
        <v>1446</v>
      </c>
      <c r="AJ378" s="368" t="s">
        <v>515</v>
      </c>
      <c r="AK378" s="368">
        <v>987</v>
      </c>
      <c r="AL378" s="368" t="s">
        <v>515</v>
      </c>
      <c r="AM378" s="368">
        <f t="shared" si="11"/>
        <v>11107</v>
      </c>
    </row>
    <row r="379" spans="1:39" s="90" customFormat="1" ht="18" customHeight="1" x14ac:dyDescent="0.3">
      <c r="A379" s="431">
        <v>185</v>
      </c>
      <c r="B379" s="422" t="s">
        <v>763</v>
      </c>
      <c r="C379" s="11" t="s">
        <v>512</v>
      </c>
      <c r="D379" s="156" t="s">
        <v>516</v>
      </c>
      <c r="E379" s="31" t="s">
        <v>364</v>
      </c>
      <c r="F379" s="23" t="s">
        <v>49</v>
      </c>
      <c r="G379" s="374"/>
      <c r="H379" s="133"/>
      <c r="I379" s="156"/>
      <c r="J379" s="133"/>
      <c r="K379" s="330" t="s">
        <v>218</v>
      </c>
      <c r="L379" s="330" t="s">
        <v>218</v>
      </c>
      <c r="M379" s="24">
        <v>12589</v>
      </c>
      <c r="N379" s="330">
        <v>17612</v>
      </c>
      <c r="O379" s="368">
        <v>1505</v>
      </c>
      <c r="P379" s="368" t="s">
        <v>515</v>
      </c>
      <c r="Q379" s="368">
        <v>1459</v>
      </c>
      <c r="R379" s="368" t="s">
        <v>515</v>
      </c>
      <c r="S379" s="368">
        <v>1246</v>
      </c>
      <c r="T379" s="368" t="s">
        <v>515</v>
      </c>
      <c r="U379" s="368">
        <v>1624</v>
      </c>
      <c r="V379" s="368" t="s">
        <v>515</v>
      </c>
      <c r="W379" s="368">
        <v>1350</v>
      </c>
      <c r="X379" s="368" t="s">
        <v>515</v>
      </c>
      <c r="Y379" s="368">
        <v>1352</v>
      </c>
      <c r="Z379" s="368" t="s">
        <v>515</v>
      </c>
      <c r="AA379" s="368">
        <v>1335</v>
      </c>
      <c r="AB379" s="368" t="s">
        <v>515</v>
      </c>
      <c r="AC379" s="368">
        <v>1228</v>
      </c>
      <c r="AD379" s="368" t="s">
        <v>515</v>
      </c>
      <c r="AE379" s="368">
        <v>1548</v>
      </c>
      <c r="AF379" s="368" t="s">
        <v>515</v>
      </c>
      <c r="AG379" s="368">
        <v>1344</v>
      </c>
      <c r="AH379" s="368" t="s">
        <v>515</v>
      </c>
      <c r="AI379" s="368">
        <v>1414</v>
      </c>
      <c r="AJ379" s="368" t="s">
        <v>515</v>
      </c>
      <c r="AK379" s="368">
        <v>1731</v>
      </c>
      <c r="AL379" s="368" t="s">
        <v>515</v>
      </c>
      <c r="AM379" s="368">
        <f t="shared" si="11"/>
        <v>17136</v>
      </c>
    </row>
    <row r="380" spans="1:39" s="90" customFormat="1" ht="18" customHeight="1" x14ac:dyDescent="0.3">
      <c r="A380" s="432"/>
      <c r="B380" s="423"/>
      <c r="C380" s="12"/>
      <c r="D380" s="156"/>
      <c r="E380" s="31" t="s">
        <v>48</v>
      </c>
      <c r="F380" s="23" t="s">
        <v>49</v>
      </c>
      <c r="G380" s="374" t="s">
        <v>535</v>
      </c>
      <c r="H380" s="133">
        <v>173</v>
      </c>
      <c r="I380" s="156"/>
      <c r="J380" s="133"/>
      <c r="K380" s="330" t="s">
        <v>218</v>
      </c>
      <c r="L380" s="330" t="s">
        <v>218</v>
      </c>
      <c r="M380" s="24">
        <v>17508</v>
      </c>
      <c r="N380" s="330">
        <v>17846</v>
      </c>
      <c r="O380" s="368">
        <v>1868</v>
      </c>
      <c r="P380" s="368" t="s">
        <v>515</v>
      </c>
      <c r="Q380" s="368">
        <v>1873</v>
      </c>
      <c r="R380" s="368" t="s">
        <v>515</v>
      </c>
      <c r="S380" s="368">
        <v>1388</v>
      </c>
      <c r="T380" s="368" t="s">
        <v>515</v>
      </c>
      <c r="U380" s="368">
        <v>1381</v>
      </c>
      <c r="V380" s="368" t="s">
        <v>515</v>
      </c>
      <c r="W380" s="368">
        <v>840</v>
      </c>
      <c r="X380" s="368" t="s">
        <v>515</v>
      </c>
      <c r="Y380" s="368">
        <v>709</v>
      </c>
      <c r="Z380" s="368" t="s">
        <v>515</v>
      </c>
      <c r="AA380" s="368">
        <v>709</v>
      </c>
      <c r="AB380" s="368" t="s">
        <v>515</v>
      </c>
      <c r="AC380" s="368">
        <v>688</v>
      </c>
      <c r="AD380" s="368" t="s">
        <v>515</v>
      </c>
      <c r="AE380" s="368">
        <v>950</v>
      </c>
      <c r="AF380" s="368" t="s">
        <v>515</v>
      </c>
      <c r="AG380" s="368">
        <v>1234</v>
      </c>
      <c r="AH380" s="368" t="s">
        <v>515</v>
      </c>
      <c r="AI380" s="368">
        <v>1692</v>
      </c>
      <c r="AJ380" s="368" t="s">
        <v>515</v>
      </c>
      <c r="AK380" s="368">
        <v>2357</v>
      </c>
      <c r="AL380" s="368" t="s">
        <v>515</v>
      </c>
      <c r="AM380" s="368">
        <f t="shared" si="11"/>
        <v>15689</v>
      </c>
    </row>
    <row r="381" spans="1:39" s="90" customFormat="1" ht="18" customHeight="1" x14ac:dyDescent="0.3">
      <c r="A381" s="431">
        <v>186</v>
      </c>
      <c r="B381" s="422" t="s">
        <v>764</v>
      </c>
      <c r="C381" s="11" t="s">
        <v>512</v>
      </c>
      <c r="D381" s="156" t="s">
        <v>516</v>
      </c>
      <c r="E381" s="31" t="s">
        <v>364</v>
      </c>
      <c r="F381" s="23" t="s">
        <v>49</v>
      </c>
      <c r="G381" s="374"/>
      <c r="H381" s="133"/>
      <c r="I381" s="156"/>
      <c r="J381" s="133"/>
      <c r="K381" s="330"/>
      <c r="L381" s="330"/>
      <c r="M381" s="24"/>
      <c r="N381" s="330"/>
      <c r="O381" s="368"/>
      <c r="P381" s="368"/>
      <c r="Q381" s="368"/>
      <c r="R381" s="368"/>
      <c r="S381" s="368"/>
      <c r="T381" s="368"/>
      <c r="U381" s="368"/>
      <c r="V381" s="368"/>
      <c r="W381" s="368"/>
      <c r="X381" s="368"/>
      <c r="Y381" s="368"/>
      <c r="Z381" s="368"/>
      <c r="AA381" s="368"/>
      <c r="AB381" s="368"/>
      <c r="AC381" s="368"/>
      <c r="AD381" s="368"/>
      <c r="AE381" s="368"/>
      <c r="AF381" s="368"/>
      <c r="AG381" s="368"/>
      <c r="AH381" s="368"/>
      <c r="AI381" s="368"/>
      <c r="AJ381" s="368"/>
      <c r="AK381" s="368"/>
      <c r="AL381" s="368"/>
      <c r="AM381" s="368"/>
    </row>
    <row r="382" spans="1:39" s="90" customFormat="1" ht="18" customHeight="1" x14ac:dyDescent="0.3">
      <c r="A382" s="432"/>
      <c r="B382" s="423"/>
      <c r="C382" s="12"/>
      <c r="D382" s="156"/>
      <c r="E382" s="31" t="s">
        <v>48</v>
      </c>
      <c r="F382" s="23" t="s">
        <v>49</v>
      </c>
      <c r="G382" s="374" t="s">
        <v>521</v>
      </c>
      <c r="H382" s="133">
        <v>58</v>
      </c>
      <c r="I382" s="156"/>
      <c r="J382" s="133"/>
      <c r="K382" s="330" t="s">
        <v>218</v>
      </c>
      <c r="L382" s="330" t="s">
        <v>218</v>
      </c>
      <c r="M382" s="24">
        <v>9466</v>
      </c>
      <c r="N382" s="330">
        <v>9177</v>
      </c>
      <c r="O382" s="368">
        <v>847</v>
      </c>
      <c r="P382" s="368" t="s">
        <v>515</v>
      </c>
      <c r="Q382" s="368">
        <v>741</v>
      </c>
      <c r="R382" s="368" t="s">
        <v>515</v>
      </c>
      <c r="S382" s="368">
        <v>608</v>
      </c>
      <c r="T382" s="368" t="s">
        <v>515</v>
      </c>
      <c r="U382" s="368">
        <v>654</v>
      </c>
      <c r="V382" s="368" t="s">
        <v>515</v>
      </c>
      <c r="W382" s="368">
        <v>572</v>
      </c>
      <c r="X382" s="368" t="s">
        <v>515</v>
      </c>
      <c r="Y382" s="368">
        <v>660</v>
      </c>
      <c r="Z382" s="368" t="s">
        <v>515</v>
      </c>
      <c r="AA382" s="368">
        <v>622</v>
      </c>
      <c r="AB382" s="368" t="s">
        <v>515</v>
      </c>
      <c r="AC382" s="368">
        <v>567</v>
      </c>
      <c r="AD382" s="368" t="s">
        <v>515</v>
      </c>
      <c r="AE382" s="368">
        <v>582</v>
      </c>
      <c r="AF382" s="368" t="s">
        <v>515</v>
      </c>
      <c r="AG382" s="368">
        <v>703</v>
      </c>
      <c r="AH382" s="368" t="s">
        <v>515</v>
      </c>
      <c r="AI382" s="368">
        <v>523</v>
      </c>
      <c r="AJ382" s="368" t="s">
        <v>515</v>
      </c>
      <c r="AK382" s="368">
        <v>764</v>
      </c>
      <c r="AL382" s="368" t="s">
        <v>515</v>
      </c>
      <c r="AM382" s="368">
        <f>SUM(O382:AK382)</f>
        <v>7843</v>
      </c>
    </row>
    <row r="383" spans="1:39" s="90" customFormat="1" ht="18" customHeight="1" x14ac:dyDescent="0.3">
      <c r="A383" s="431">
        <v>187</v>
      </c>
      <c r="B383" s="422" t="s">
        <v>765</v>
      </c>
      <c r="C383" s="11" t="s">
        <v>512</v>
      </c>
      <c r="D383" s="156" t="s">
        <v>516</v>
      </c>
      <c r="E383" s="31" t="s">
        <v>364</v>
      </c>
      <c r="F383" s="23" t="s">
        <v>49</v>
      </c>
      <c r="G383" s="374"/>
      <c r="H383" s="133"/>
      <c r="I383" s="156"/>
      <c r="J383" s="133"/>
      <c r="K383" s="330"/>
      <c r="L383" s="330"/>
      <c r="M383" s="24"/>
      <c r="N383" s="330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68"/>
      <c r="Z383" s="368"/>
      <c r="AA383" s="368"/>
      <c r="AB383" s="368"/>
      <c r="AC383" s="368"/>
      <c r="AD383" s="368"/>
      <c r="AE383" s="368"/>
      <c r="AF383" s="368"/>
      <c r="AG383" s="368"/>
      <c r="AH383" s="368"/>
      <c r="AI383" s="368"/>
      <c r="AJ383" s="368"/>
      <c r="AK383" s="368"/>
      <c r="AL383" s="368"/>
      <c r="AM383" s="368"/>
    </row>
    <row r="384" spans="1:39" s="90" customFormat="1" ht="18" customHeight="1" x14ac:dyDescent="0.3">
      <c r="A384" s="432"/>
      <c r="B384" s="423"/>
      <c r="C384" s="12"/>
      <c r="D384" s="156"/>
      <c r="E384" s="31" t="s">
        <v>48</v>
      </c>
      <c r="F384" s="23" t="s">
        <v>49</v>
      </c>
      <c r="G384" s="374" t="s">
        <v>521</v>
      </c>
      <c r="H384" s="133">
        <v>58</v>
      </c>
      <c r="I384" s="156"/>
      <c r="J384" s="133"/>
      <c r="K384" s="330" t="s">
        <v>218</v>
      </c>
      <c r="L384" s="330" t="s">
        <v>218</v>
      </c>
      <c r="M384" s="24">
        <v>0</v>
      </c>
      <c r="N384" s="330">
        <v>0</v>
      </c>
      <c r="O384" s="368">
        <v>916</v>
      </c>
      <c r="P384" s="368" t="s">
        <v>515</v>
      </c>
      <c r="Q384" s="368">
        <v>811</v>
      </c>
      <c r="R384" s="368" t="s">
        <v>515</v>
      </c>
      <c r="S384" s="368">
        <v>588</v>
      </c>
      <c r="T384" s="368" t="s">
        <v>515</v>
      </c>
      <c r="U384" s="368">
        <v>665</v>
      </c>
      <c r="V384" s="368" t="s">
        <v>515</v>
      </c>
      <c r="W384" s="368">
        <v>642</v>
      </c>
      <c r="X384" s="368" t="s">
        <v>515</v>
      </c>
      <c r="Y384" s="368">
        <v>680</v>
      </c>
      <c r="Z384" s="368" t="s">
        <v>515</v>
      </c>
      <c r="AA384" s="368">
        <v>482</v>
      </c>
      <c r="AB384" s="368" t="s">
        <v>515</v>
      </c>
      <c r="AC384" s="368">
        <v>448</v>
      </c>
      <c r="AD384" s="368" t="s">
        <v>515</v>
      </c>
      <c r="AE384" s="368">
        <v>666</v>
      </c>
      <c r="AF384" s="368" t="s">
        <v>515</v>
      </c>
      <c r="AG384" s="368">
        <v>442</v>
      </c>
      <c r="AH384" s="368" t="s">
        <v>515</v>
      </c>
      <c r="AI384" s="368">
        <v>853</v>
      </c>
      <c r="AJ384" s="368" t="s">
        <v>515</v>
      </c>
      <c r="AK384" s="368">
        <v>891</v>
      </c>
      <c r="AL384" s="368" t="s">
        <v>515</v>
      </c>
      <c r="AM384" s="368">
        <f t="shared" ref="AM384:AM392" si="12">SUM(O384:AK384)</f>
        <v>8084</v>
      </c>
    </row>
    <row r="385" spans="1:39" s="90" customFormat="1" ht="18" customHeight="1" x14ac:dyDescent="0.3">
      <c r="A385" s="431">
        <v>188</v>
      </c>
      <c r="B385" s="422" t="s">
        <v>766</v>
      </c>
      <c r="C385" s="11" t="s">
        <v>512</v>
      </c>
      <c r="D385" s="156" t="s">
        <v>516</v>
      </c>
      <c r="E385" s="31" t="s">
        <v>364</v>
      </c>
      <c r="F385" s="23" t="s">
        <v>49</v>
      </c>
      <c r="G385" s="374"/>
      <c r="H385" s="133"/>
      <c r="I385" s="156"/>
      <c r="J385" s="133"/>
      <c r="K385" s="330" t="s">
        <v>218</v>
      </c>
      <c r="L385" s="330" t="s">
        <v>218</v>
      </c>
      <c r="M385" s="24">
        <v>1870</v>
      </c>
      <c r="N385" s="330">
        <v>2091</v>
      </c>
      <c r="O385" s="368">
        <v>164</v>
      </c>
      <c r="P385" s="368" t="s">
        <v>515</v>
      </c>
      <c r="Q385" s="368">
        <v>162</v>
      </c>
      <c r="R385" s="368" t="s">
        <v>515</v>
      </c>
      <c r="S385" s="368">
        <v>167</v>
      </c>
      <c r="T385" s="368" t="s">
        <v>515</v>
      </c>
      <c r="U385" s="368">
        <v>182</v>
      </c>
      <c r="V385" s="368" t="s">
        <v>515</v>
      </c>
      <c r="W385" s="368">
        <v>176</v>
      </c>
      <c r="X385" s="368" t="s">
        <v>515</v>
      </c>
      <c r="Y385" s="368">
        <v>204</v>
      </c>
      <c r="Z385" s="368" t="s">
        <v>515</v>
      </c>
      <c r="AA385" s="368">
        <v>154</v>
      </c>
      <c r="AB385" s="368" t="s">
        <v>515</v>
      </c>
      <c r="AC385" s="368">
        <v>157</v>
      </c>
      <c r="AD385" s="368" t="s">
        <v>515</v>
      </c>
      <c r="AE385" s="368">
        <v>174</v>
      </c>
      <c r="AF385" s="368" t="s">
        <v>515</v>
      </c>
      <c r="AG385" s="368">
        <v>171</v>
      </c>
      <c r="AH385" s="368" t="s">
        <v>515</v>
      </c>
      <c r="AI385" s="368">
        <v>183</v>
      </c>
      <c r="AJ385" s="368" t="s">
        <v>515</v>
      </c>
      <c r="AK385" s="368">
        <v>190</v>
      </c>
      <c r="AL385" s="368" t="s">
        <v>515</v>
      </c>
      <c r="AM385" s="368">
        <f t="shared" si="12"/>
        <v>2084</v>
      </c>
    </row>
    <row r="386" spans="1:39" s="90" customFormat="1" ht="18" customHeight="1" x14ac:dyDescent="0.3">
      <c r="A386" s="432"/>
      <c r="B386" s="423"/>
      <c r="C386" s="12"/>
      <c r="D386" s="156"/>
      <c r="E386" s="31" t="s">
        <v>48</v>
      </c>
      <c r="F386" s="23" t="s">
        <v>49</v>
      </c>
      <c r="G386" s="374" t="s">
        <v>559</v>
      </c>
      <c r="H386" s="133">
        <v>32</v>
      </c>
      <c r="I386" s="156"/>
      <c r="J386" s="133"/>
      <c r="K386" s="330" t="s">
        <v>218</v>
      </c>
      <c r="L386" s="330" t="s">
        <v>218</v>
      </c>
      <c r="M386" s="24">
        <v>6373</v>
      </c>
      <c r="N386" s="330">
        <v>5296</v>
      </c>
      <c r="O386" s="368">
        <v>356</v>
      </c>
      <c r="P386" s="368" t="s">
        <v>515</v>
      </c>
      <c r="Q386" s="368">
        <v>405</v>
      </c>
      <c r="R386" s="368" t="s">
        <v>515</v>
      </c>
      <c r="S386" s="368">
        <v>507</v>
      </c>
      <c r="T386" s="368" t="s">
        <v>515</v>
      </c>
      <c r="U386" s="368">
        <v>452</v>
      </c>
      <c r="V386" s="368" t="s">
        <v>515</v>
      </c>
      <c r="W386" s="368">
        <v>410</v>
      </c>
      <c r="X386" s="368" t="s">
        <v>515</v>
      </c>
      <c r="Y386" s="368">
        <v>466</v>
      </c>
      <c r="Z386" s="368" t="s">
        <v>515</v>
      </c>
      <c r="AA386" s="368">
        <v>370</v>
      </c>
      <c r="AB386" s="368" t="s">
        <v>515</v>
      </c>
      <c r="AC386" s="368">
        <v>353</v>
      </c>
      <c r="AD386" s="368" t="s">
        <v>515</v>
      </c>
      <c r="AE386" s="368">
        <v>335</v>
      </c>
      <c r="AF386" s="368" t="s">
        <v>515</v>
      </c>
      <c r="AG386" s="368">
        <v>316</v>
      </c>
      <c r="AH386" s="368" t="s">
        <v>515</v>
      </c>
      <c r="AI386" s="368">
        <v>404</v>
      </c>
      <c r="AJ386" s="368" t="s">
        <v>515</v>
      </c>
      <c r="AK386" s="368">
        <v>424</v>
      </c>
      <c r="AL386" s="368" t="s">
        <v>515</v>
      </c>
      <c r="AM386" s="368">
        <f t="shared" si="12"/>
        <v>4798</v>
      </c>
    </row>
    <row r="387" spans="1:39" s="90" customFormat="1" ht="18" customHeight="1" x14ac:dyDescent="0.3">
      <c r="A387" s="431">
        <v>189</v>
      </c>
      <c r="B387" s="422" t="s">
        <v>767</v>
      </c>
      <c r="C387" s="11" t="s">
        <v>512</v>
      </c>
      <c r="D387" s="156" t="s">
        <v>516</v>
      </c>
      <c r="E387" s="31" t="s">
        <v>364</v>
      </c>
      <c r="F387" s="23" t="s">
        <v>49</v>
      </c>
      <c r="G387" s="374"/>
      <c r="H387" s="133"/>
      <c r="I387" s="156"/>
      <c r="J387" s="133"/>
      <c r="K387" s="330" t="s">
        <v>218</v>
      </c>
      <c r="L387" s="330" t="s">
        <v>218</v>
      </c>
      <c r="M387" s="24">
        <v>15617</v>
      </c>
      <c r="N387" s="330">
        <v>13364</v>
      </c>
      <c r="O387" s="368">
        <v>1015</v>
      </c>
      <c r="P387" s="368" t="s">
        <v>515</v>
      </c>
      <c r="Q387" s="368">
        <v>1009</v>
      </c>
      <c r="R387" s="368" t="s">
        <v>515</v>
      </c>
      <c r="S387" s="368">
        <v>1396</v>
      </c>
      <c r="T387" s="368" t="s">
        <v>515</v>
      </c>
      <c r="U387" s="368">
        <v>1187</v>
      </c>
      <c r="V387" s="368" t="s">
        <v>515</v>
      </c>
      <c r="W387" s="368">
        <v>1176</v>
      </c>
      <c r="X387" s="368" t="s">
        <v>515</v>
      </c>
      <c r="Y387" s="368">
        <v>1219</v>
      </c>
      <c r="Z387" s="368" t="s">
        <v>515</v>
      </c>
      <c r="AA387" s="368">
        <v>1075</v>
      </c>
      <c r="AB387" s="368" t="s">
        <v>515</v>
      </c>
      <c r="AC387" s="368">
        <v>1089</v>
      </c>
      <c r="AD387" s="368" t="s">
        <v>515</v>
      </c>
      <c r="AE387" s="368">
        <v>1043</v>
      </c>
      <c r="AF387" s="368" t="s">
        <v>515</v>
      </c>
      <c r="AG387" s="368">
        <v>1049</v>
      </c>
      <c r="AH387" s="368" t="s">
        <v>515</v>
      </c>
      <c r="AI387" s="368">
        <v>1302</v>
      </c>
      <c r="AJ387" s="368" t="s">
        <v>515</v>
      </c>
      <c r="AK387" s="368">
        <v>1158</v>
      </c>
      <c r="AL387" s="368" t="s">
        <v>515</v>
      </c>
      <c r="AM387" s="368">
        <f t="shared" si="12"/>
        <v>13718</v>
      </c>
    </row>
    <row r="388" spans="1:39" s="90" customFormat="1" ht="18" customHeight="1" x14ac:dyDescent="0.3">
      <c r="A388" s="432"/>
      <c r="B388" s="423"/>
      <c r="C388" s="12"/>
      <c r="D388" s="156"/>
      <c r="E388" s="31" t="s">
        <v>48</v>
      </c>
      <c r="F388" s="23" t="s">
        <v>49</v>
      </c>
      <c r="G388" s="374" t="s">
        <v>559</v>
      </c>
      <c r="H388" s="133">
        <v>206</v>
      </c>
      <c r="I388" s="156"/>
      <c r="J388" s="133"/>
      <c r="K388" s="330" t="s">
        <v>218</v>
      </c>
      <c r="L388" s="330" t="s">
        <v>218</v>
      </c>
      <c r="M388" s="24">
        <v>18714</v>
      </c>
      <c r="N388" s="330">
        <v>23848</v>
      </c>
      <c r="O388" s="368">
        <v>2366</v>
      </c>
      <c r="P388" s="368" t="s">
        <v>515</v>
      </c>
      <c r="Q388" s="368">
        <v>2491</v>
      </c>
      <c r="R388" s="368" t="s">
        <v>515</v>
      </c>
      <c r="S388" s="368">
        <v>2210</v>
      </c>
      <c r="T388" s="368" t="s">
        <v>515</v>
      </c>
      <c r="U388" s="368">
        <v>1473</v>
      </c>
      <c r="V388" s="368" t="s">
        <v>515</v>
      </c>
      <c r="W388" s="368">
        <v>1019</v>
      </c>
      <c r="X388" s="368" t="s">
        <v>515</v>
      </c>
      <c r="Y388" s="368">
        <v>758</v>
      </c>
      <c r="Z388" s="368" t="s">
        <v>515</v>
      </c>
      <c r="AA388" s="368">
        <v>578</v>
      </c>
      <c r="AB388" s="368" t="s">
        <v>515</v>
      </c>
      <c r="AC388" s="368">
        <v>830</v>
      </c>
      <c r="AD388" s="368" t="s">
        <v>515</v>
      </c>
      <c r="AE388" s="368">
        <v>1135</v>
      </c>
      <c r="AF388" s="368" t="s">
        <v>515</v>
      </c>
      <c r="AG388" s="368">
        <v>1520</v>
      </c>
      <c r="AH388" s="368" t="s">
        <v>515</v>
      </c>
      <c r="AI388" s="368">
        <v>2101</v>
      </c>
      <c r="AJ388" s="368" t="s">
        <v>515</v>
      </c>
      <c r="AK388" s="368">
        <v>2068</v>
      </c>
      <c r="AL388" s="368" t="s">
        <v>515</v>
      </c>
      <c r="AM388" s="368">
        <f t="shared" si="12"/>
        <v>18549</v>
      </c>
    </row>
    <row r="389" spans="1:39" s="90" customFormat="1" ht="18" customHeight="1" x14ac:dyDescent="0.3">
      <c r="A389" s="431">
        <v>190</v>
      </c>
      <c r="B389" s="422" t="s">
        <v>768</v>
      </c>
      <c r="C389" s="11" t="s">
        <v>512</v>
      </c>
      <c r="D389" s="156" t="s">
        <v>516</v>
      </c>
      <c r="E389" s="31" t="s">
        <v>364</v>
      </c>
      <c r="F389" s="23" t="s">
        <v>49</v>
      </c>
      <c r="G389" s="374"/>
      <c r="H389" s="133"/>
      <c r="I389" s="156"/>
      <c r="J389" s="133"/>
      <c r="K389" s="330" t="s">
        <v>218</v>
      </c>
      <c r="L389" s="330" t="s">
        <v>218</v>
      </c>
      <c r="M389" s="24">
        <v>26560</v>
      </c>
      <c r="N389" s="330">
        <v>25040</v>
      </c>
      <c r="O389" s="368">
        <v>1920</v>
      </c>
      <c r="P389" s="368" t="s">
        <v>515</v>
      </c>
      <c r="Q389" s="368">
        <v>1660</v>
      </c>
      <c r="R389" s="368" t="s">
        <v>515</v>
      </c>
      <c r="S389" s="368">
        <v>1600</v>
      </c>
      <c r="T389" s="368" t="s">
        <v>515</v>
      </c>
      <c r="U389" s="368">
        <v>1760</v>
      </c>
      <c r="V389" s="368" t="s">
        <v>515</v>
      </c>
      <c r="W389" s="368">
        <v>1440</v>
      </c>
      <c r="X389" s="368" t="s">
        <v>515</v>
      </c>
      <c r="Y389" s="368">
        <v>1540</v>
      </c>
      <c r="Z389" s="368" t="s">
        <v>515</v>
      </c>
      <c r="AA389" s="368">
        <v>1540</v>
      </c>
      <c r="AB389" s="368" t="s">
        <v>515</v>
      </c>
      <c r="AC389" s="368">
        <v>1230</v>
      </c>
      <c r="AD389" s="368" t="s">
        <v>515</v>
      </c>
      <c r="AE389" s="368">
        <v>1870</v>
      </c>
      <c r="AF389" s="368" t="s">
        <v>515</v>
      </c>
      <c r="AG389" s="368">
        <v>1760</v>
      </c>
      <c r="AH389" s="368" t="s">
        <v>515</v>
      </c>
      <c r="AI389" s="368">
        <v>1650</v>
      </c>
      <c r="AJ389" s="368" t="s">
        <v>515</v>
      </c>
      <c r="AK389" s="368">
        <v>1830</v>
      </c>
      <c r="AL389" s="368" t="s">
        <v>515</v>
      </c>
      <c r="AM389" s="368">
        <f t="shared" si="12"/>
        <v>19800</v>
      </c>
    </row>
    <row r="390" spans="1:39" s="90" customFormat="1" ht="18" customHeight="1" x14ac:dyDescent="0.3">
      <c r="A390" s="432"/>
      <c r="B390" s="423"/>
      <c r="C390" s="12"/>
      <c r="D390" s="156"/>
      <c r="E390" s="31" t="s">
        <v>48</v>
      </c>
      <c r="F390" s="23" t="s">
        <v>49</v>
      </c>
      <c r="G390" s="374" t="s">
        <v>576</v>
      </c>
      <c r="H390" s="133">
        <v>504</v>
      </c>
      <c r="I390" s="156" t="s">
        <v>525</v>
      </c>
      <c r="J390" s="133">
        <v>1</v>
      </c>
      <c r="K390" s="330" t="s">
        <v>218</v>
      </c>
      <c r="L390" s="330" t="s">
        <v>218</v>
      </c>
      <c r="M390" s="24">
        <v>58386</v>
      </c>
      <c r="N390" s="330">
        <v>55666</v>
      </c>
      <c r="O390" s="368">
        <v>5257</v>
      </c>
      <c r="P390" s="368" t="s">
        <v>515</v>
      </c>
      <c r="Q390" s="368">
        <v>4458</v>
      </c>
      <c r="R390" s="368" t="s">
        <v>515</v>
      </c>
      <c r="S390" s="368">
        <v>4174</v>
      </c>
      <c r="T390" s="368" t="s">
        <v>515</v>
      </c>
      <c r="U390" s="368">
        <v>4697</v>
      </c>
      <c r="V390" s="368" t="s">
        <v>515</v>
      </c>
      <c r="W390" s="368">
        <v>4197</v>
      </c>
      <c r="X390" s="368" t="s">
        <v>515</v>
      </c>
      <c r="Y390" s="368">
        <v>4310</v>
      </c>
      <c r="Z390" s="368" t="s">
        <v>515</v>
      </c>
      <c r="AA390" s="368">
        <v>4572</v>
      </c>
      <c r="AB390" s="368" t="s">
        <v>515</v>
      </c>
      <c r="AC390" s="368">
        <v>3054</v>
      </c>
      <c r="AD390" s="368" t="s">
        <v>515</v>
      </c>
      <c r="AE390" s="368">
        <v>4379</v>
      </c>
      <c r="AF390" s="368" t="s">
        <v>515</v>
      </c>
      <c r="AG390" s="368">
        <v>4146</v>
      </c>
      <c r="AH390" s="368" t="s">
        <v>515</v>
      </c>
      <c r="AI390" s="368">
        <v>4225</v>
      </c>
      <c r="AJ390" s="368" t="s">
        <v>515</v>
      </c>
      <c r="AK390" s="368">
        <v>4481</v>
      </c>
      <c r="AL390" s="368" t="s">
        <v>515</v>
      </c>
      <c r="AM390" s="368">
        <f t="shared" si="12"/>
        <v>51950</v>
      </c>
    </row>
    <row r="391" spans="1:39" s="90" customFormat="1" ht="18" customHeight="1" x14ac:dyDescent="0.3">
      <c r="A391" s="431">
        <v>191</v>
      </c>
      <c r="B391" s="422" t="s">
        <v>769</v>
      </c>
      <c r="C391" s="11" t="s">
        <v>512</v>
      </c>
      <c r="D391" s="156" t="s">
        <v>516</v>
      </c>
      <c r="E391" s="31" t="s">
        <v>364</v>
      </c>
      <c r="F391" s="23" t="s">
        <v>49</v>
      </c>
      <c r="G391" s="374"/>
      <c r="H391" s="133"/>
      <c r="I391" s="156"/>
      <c r="J391" s="133"/>
      <c r="K391" s="330" t="s">
        <v>218</v>
      </c>
      <c r="L391" s="330" t="s">
        <v>218</v>
      </c>
      <c r="M391" s="24">
        <v>16872</v>
      </c>
      <c r="N391" s="330">
        <v>17360</v>
      </c>
      <c r="O391" s="368">
        <v>1773</v>
      </c>
      <c r="P391" s="368" t="s">
        <v>515</v>
      </c>
      <c r="Q391" s="368">
        <v>1462</v>
      </c>
      <c r="R391" s="368" t="s">
        <v>515</v>
      </c>
      <c r="S391" s="368">
        <v>1343</v>
      </c>
      <c r="T391" s="368" t="s">
        <v>515</v>
      </c>
      <c r="U391" s="368">
        <v>1713</v>
      </c>
      <c r="V391" s="368" t="s">
        <v>515</v>
      </c>
      <c r="W391" s="368">
        <v>1883</v>
      </c>
      <c r="X391" s="368" t="s">
        <v>515</v>
      </c>
      <c r="Y391" s="368">
        <v>1670</v>
      </c>
      <c r="Z391" s="368" t="s">
        <v>515</v>
      </c>
      <c r="AA391" s="368">
        <v>1543</v>
      </c>
      <c r="AB391" s="368" t="s">
        <v>515</v>
      </c>
      <c r="AC391" s="368">
        <v>1552</v>
      </c>
      <c r="AD391" s="368" t="s">
        <v>515</v>
      </c>
      <c r="AE391" s="368">
        <v>1930</v>
      </c>
      <c r="AF391" s="368" t="s">
        <v>515</v>
      </c>
      <c r="AG391" s="368">
        <v>1592</v>
      </c>
      <c r="AH391" s="368" t="s">
        <v>515</v>
      </c>
      <c r="AI391" s="368">
        <v>1506</v>
      </c>
      <c r="AJ391" s="368" t="s">
        <v>515</v>
      </c>
      <c r="AK391" s="368">
        <v>1592</v>
      </c>
      <c r="AL391" s="368" t="s">
        <v>515</v>
      </c>
      <c r="AM391" s="368">
        <f t="shared" si="12"/>
        <v>19559</v>
      </c>
    </row>
    <row r="392" spans="1:39" s="90" customFormat="1" ht="18" customHeight="1" x14ac:dyDescent="0.3">
      <c r="A392" s="432"/>
      <c r="B392" s="423"/>
      <c r="C392" s="12"/>
      <c r="D392" s="156"/>
      <c r="E392" s="31" t="s">
        <v>48</v>
      </c>
      <c r="F392" s="23" t="s">
        <v>49</v>
      </c>
      <c r="G392" s="374" t="s">
        <v>518</v>
      </c>
      <c r="H392" s="133">
        <v>287</v>
      </c>
      <c r="I392" s="156"/>
      <c r="J392" s="133"/>
      <c r="K392" s="330" t="s">
        <v>218</v>
      </c>
      <c r="L392" s="330" t="s">
        <v>218</v>
      </c>
      <c r="M392" s="24">
        <v>23870</v>
      </c>
      <c r="N392" s="330">
        <v>22310</v>
      </c>
      <c r="O392" s="368">
        <v>3094</v>
      </c>
      <c r="P392" s="368" t="s">
        <v>515</v>
      </c>
      <c r="Q392" s="368">
        <v>2432</v>
      </c>
      <c r="R392" s="368" t="s">
        <v>515</v>
      </c>
      <c r="S392" s="368">
        <v>1883</v>
      </c>
      <c r="T392" s="368" t="s">
        <v>515</v>
      </c>
      <c r="U392" s="368">
        <v>1720</v>
      </c>
      <c r="V392" s="368" t="s">
        <v>515</v>
      </c>
      <c r="W392" s="368">
        <v>1383</v>
      </c>
      <c r="X392" s="368" t="s">
        <v>515</v>
      </c>
      <c r="Y392" s="368">
        <v>965</v>
      </c>
      <c r="Z392" s="368" t="s">
        <v>515</v>
      </c>
      <c r="AA392" s="368">
        <v>1039</v>
      </c>
      <c r="AB392" s="368" t="s">
        <v>515</v>
      </c>
      <c r="AC392" s="368">
        <v>983</v>
      </c>
      <c r="AD392" s="368" t="s">
        <v>515</v>
      </c>
      <c r="AE392" s="368">
        <v>1542</v>
      </c>
      <c r="AF392" s="368" t="s">
        <v>515</v>
      </c>
      <c r="AG392" s="368">
        <v>1959</v>
      </c>
      <c r="AH392" s="368" t="s">
        <v>515</v>
      </c>
      <c r="AI392" s="368">
        <v>2110</v>
      </c>
      <c r="AJ392" s="368" t="s">
        <v>515</v>
      </c>
      <c r="AK392" s="368">
        <v>2800</v>
      </c>
      <c r="AL392" s="368" t="s">
        <v>515</v>
      </c>
      <c r="AM392" s="368">
        <f t="shared" si="12"/>
        <v>21910</v>
      </c>
    </row>
    <row r="393" spans="1:39" s="90" customFormat="1" ht="18" customHeight="1" x14ac:dyDescent="0.3">
      <c r="A393" s="431">
        <v>192</v>
      </c>
      <c r="B393" s="422" t="s">
        <v>770</v>
      </c>
      <c r="C393" s="11" t="s">
        <v>512</v>
      </c>
      <c r="D393" s="156" t="s">
        <v>516</v>
      </c>
      <c r="E393" s="31" t="s">
        <v>364</v>
      </c>
      <c r="F393" s="23" t="s">
        <v>49</v>
      </c>
      <c r="G393" s="374"/>
      <c r="H393" s="133"/>
      <c r="I393" s="156"/>
      <c r="J393" s="133"/>
      <c r="K393" s="330"/>
      <c r="L393" s="330"/>
      <c r="M393" s="24"/>
      <c r="N393" s="330"/>
      <c r="O393" s="368"/>
      <c r="P393" s="368"/>
      <c r="Q393" s="368"/>
      <c r="R393" s="368"/>
      <c r="S393" s="368"/>
      <c r="T393" s="368"/>
      <c r="U393" s="368"/>
      <c r="V393" s="368"/>
      <c r="W393" s="368"/>
      <c r="X393" s="368"/>
      <c r="Y393" s="368"/>
      <c r="Z393" s="368"/>
      <c r="AA393" s="368"/>
      <c r="AB393" s="368"/>
      <c r="AC393" s="368"/>
      <c r="AD393" s="368"/>
      <c r="AE393" s="368"/>
      <c r="AF393" s="368"/>
      <c r="AG393" s="368"/>
      <c r="AH393" s="368"/>
      <c r="AI393" s="368"/>
      <c r="AJ393" s="368"/>
      <c r="AK393" s="368"/>
      <c r="AL393" s="368"/>
      <c r="AM393" s="368"/>
    </row>
    <row r="394" spans="1:39" s="90" customFormat="1" ht="18" customHeight="1" x14ac:dyDescent="0.3">
      <c r="A394" s="432"/>
      <c r="B394" s="423"/>
      <c r="C394" s="11"/>
      <c r="D394" s="156"/>
      <c r="E394" s="31" t="s">
        <v>48</v>
      </c>
      <c r="F394" s="23" t="s">
        <v>49</v>
      </c>
      <c r="G394" s="374" t="s">
        <v>518</v>
      </c>
      <c r="H394" s="133">
        <v>70</v>
      </c>
      <c r="I394" s="156"/>
      <c r="J394" s="133"/>
      <c r="K394" s="330" t="s">
        <v>218</v>
      </c>
      <c r="L394" s="330" t="s">
        <v>218</v>
      </c>
      <c r="M394" s="24">
        <v>9939</v>
      </c>
      <c r="N394" s="330">
        <v>8809</v>
      </c>
      <c r="O394" s="368">
        <v>1164</v>
      </c>
      <c r="P394" s="368" t="s">
        <v>515</v>
      </c>
      <c r="Q394" s="368">
        <v>1012</v>
      </c>
      <c r="R394" s="368" t="s">
        <v>515</v>
      </c>
      <c r="S394" s="368">
        <v>719</v>
      </c>
      <c r="T394" s="368" t="s">
        <v>515</v>
      </c>
      <c r="U394" s="368">
        <v>582</v>
      </c>
      <c r="V394" s="368" t="s">
        <v>515</v>
      </c>
      <c r="W394" s="368">
        <v>467</v>
      </c>
      <c r="X394" s="368" t="s">
        <v>515</v>
      </c>
      <c r="Y394" s="368">
        <v>359</v>
      </c>
      <c r="Z394" s="368" t="s">
        <v>515</v>
      </c>
      <c r="AA394" s="368">
        <v>317</v>
      </c>
      <c r="AB394" s="368" t="s">
        <v>515</v>
      </c>
      <c r="AC394" s="368">
        <v>351</v>
      </c>
      <c r="AD394" s="368" t="s">
        <v>515</v>
      </c>
      <c r="AE394" s="368">
        <v>454</v>
      </c>
      <c r="AF394" s="368" t="s">
        <v>515</v>
      </c>
      <c r="AG394" s="368">
        <v>645</v>
      </c>
      <c r="AH394" s="368" t="s">
        <v>515</v>
      </c>
      <c r="AI394" s="368">
        <v>786</v>
      </c>
      <c r="AJ394" s="368" t="s">
        <v>515</v>
      </c>
      <c r="AK394" s="368">
        <v>1057</v>
      </c>
      <c r="AL394" s="368" t="s">
        <v>515</v>
      </c>
      <c r="AM394" s="368">
        <f>SUM(O394:AK394)</f>
        <v>7913</v>
      </c>
    </row>
    <row r="395" spans="1:39" s="90" customFormat="1" ht="18" customHeight="1" x14ac:dyDescent="0.3">
      <c r="A395" s="431">
        <v>193</v>
      </c>
      <c r="B395" s="422" t="s">
        <v>771</v>
      </c>
      <c r="C395" s="11" t="s">
        <v>512</v>
      </c>
      <c r="D395" s="156" t="s">
        <v>516</v>
      </c>
      <c r="E395" s="31" t="s">
        <v>364</v>
      </c>
      <c r="F395" s="23" t="s">
        <v>49</v>
      </c>
      <c r="G395" s="374"/>
      <c r="H395" s="133"/>
      <c r="I395" s="156"/>
      <c r="J395" s="133"/>
      <c r="K395" s="330"/>
      <c r="L395" s="330"/>
      <c r="M395" s="24"/>
      <c r="N395" s="330"/>
      <c r="O395" s="368"/>
      <c r="P395" s="368"/>
      <c r="Q395" s="368"/>
      <c r="R395" s="368"/>
      <c r="S395" s="368"/>
      <c r="T395" s="368"/>
      <c r="U395" s="368"/>
      <c r="V395" s="368"/>
      <c r="W395" s="368"/>
      <c r="X395" s="368"/>
      <c r="Y395" s="368"/>
      <c r="Z395" s="368"/>
      <c r="AA395" s="368"/>
      <c r="AB395" s="368"/>
      <c r="AC395" s="368"/>
      <c r="AD395" s="368"/>
      <c r="AE395" s="368"/>
      <c r="AF395" s="368"/>
      <c r="AG395" s="368"/>
      <c r="AH395" s="368"/>
      <c r="AI395" s="368"/>
      <c r="AJ395" s="368"/>
      <c r="AK395" s="368"/>
      <c r="AL395" s="368"/>
      <c r="AM395" s="368"/>
    </row>
    <row r="396" spans="1:39" s="90" customFormat="1" ht="18" customHeight="1" x14ac:dyDescent="0.3">
      <c r="A396" s="432"/>
      <c r="B396" s="423"/>
      <c r="C396" s="12"/>
      <c r="D396" s="156"/>
      <c r="E396" s="31" t="s">
        <v>48</v>
      </c>
      <c r="F396" s="23" t="s">
        <v>49</v>
      </c>
      <c r="G396" s="374" t="s">
        <v>518</v>
      </c>
      <c r="H396" s="133">
        <v>77</v>
      </c>
      <c r="I396" s="156"/>
      <c r="J396" s="133"/>
      <c r="K396" s="330" t="s">
        <v>218</v>
      </c>
      <c r="L396" s="330" t="s">
        <v>218</v>
      </c>
      <c r="M396" s="24">
        <v>6429</v>
      </c>
      <c r="N396" s="330">
        <v>6328</v>
      </c>
      <c r="O396" s="368">
        <v>702</v>
      </c>
      <c r="P396" s="368" t="s">
        <v>515</v>
      </c>
      <c r="Q396" s="368">
        <v>704</v>
      </c>
      <c r="R396" s="368" t="s">
        <v>515</v>
      </c>
      <c r="S396" s="368">
        <v>500</v>
      </c>
      <c r="T396" s="368" t="s">
        <v>515</v>
      </c>
      <c r="U396" s="368">
        <v>368</v>
      </c>
      <c r="V396" s="368" t="s">
        <v>515</v>
      </c>
      <c r="W396" s="368">
        <v>301</v>
      </c>
      <c r="X396" s="368" t="s">
        <v>515</v>
      </c>
      <c r="Y396" s="368">
        <v>216</v>
      </c>
      <c r="Z396" s="368" t="s">
        <v>515</v>
      </c>
      <c r="AA396" s="368">
        <v>218</v>
      </c>
      <c r="AB396" s="368" t="s">
        <v>515</v>
      </c>
      <c r="AC396" s="368">
        <v>261</v>
      </c>
      <c r="AD396" s="368" t="s">
        <v>515</v>
      </c>
      <c r="AE396" s="368">
        <v>403</v>
      </c>
      <c r="AF396" s="368" t="s">
        <v>515</v>
      </c>
      <c r="AG396" s="368">
        <v>491</v>
      </c>
      <c r="AH396" s="368" t="s">
        <v>515</v>
      </c>
      <c r="AI396" s="368">
        <v>569</v>
      </c>
      <c r="AJ396" s="368" t="s">
        <v>515</v>
      </c>
      <c r="AK396" s="368">
        <v>715</v>
      </c>
      <c r="AL396" s="368" t="s">
        <v>515</v>
      </c>
      <c r="AM396" s="368">
        <f>SUM(O396:AK396)</f>
        <v>5448</v>
      </c>
    </row>
    <row r="397" spans="1:39" s="90" customFormat="1" ht="18" customHeight="1" x14ac:dyDescent="0.3">
      <c r="A397" s="431">
        <v>194</v>
      </c>
      <c r="B397" s="422" t="s">
        <v>772</v>
      </c>
      <c r="C397" s="11" t="s">
        <v>512</v>
      </c>
      <c r="D397" s="156" t="s">
        <v>516</v>
      </c>
      <c r="E397" s="31" t="s">
        <v>364</v>
      </c>
      <c r="F397" s="23" t="s">
        <v>49</v>
      </c>
      <c r="G397" s="374"/>
      <c r="H397" s="133"/>
      <c r="I397" s="156"/>
      <c r="J397" s="133"/>
      <c r="K397" s="330"/>
      <c r="L397" s="330"/>
      <c r="M397" s="24"/>
      <c r="N397" s="330"/>
      <c r="O397" s="368"/>
      <c r="P397" s="368"/>
      <c r="Q397" s="368"/>
      <c r="R397" s="368"/>
      <c r="S397" s="368"/>
      <c r="T397" s="368"/>
      <c r="U397" s="368"/>
      <c r="V397" s="368"/>
      <c r="W397" s="368"/>
      <c r="X397" s="368"/>
      <c r="Y397" s="368"/>
      <c r="Z397" s="368"/>
      <c r="AA397" s="368"/>
      <c r="AB397" s="368"/>
      <c r="AC397" s="368"/>
      <c r="AD397" s="368"/>
      <c r="AE397" s="368"/>
      <c r="AF397" s="368"/>
      <c r="AG397" s="368"/>
      <c r="AH397" s="368"/>
      <c r="AI397" s="368"/>
      <c r="AJ397" s="368"/>
      <c r="AK397" s="368"/>
      <c r="AL397" s="368"/>
      <c r="AM397" s="368"/>
    </row>
    <row r="398" spans="1:39" s="90" customFormat="1" ht="18" customHeight="1" x14ac:dyDescent="0.3">
      <c r="A398" s="432"/>
      <c r="B398" s="423"/>
      <c r="C398" s="12"/>
      <c r="D398" s="156"/>
      <c r="E398" s="31" t="s">
        <v>48</v>
      </c>
      <c r="F398" s="23" t="s">
        <v>49</v>
      </c>
      <c r="G398" s="374" t="s">
        <v>518</v>
      </c>
      <c r="H398" s="133">
        <v>63</v>
      </c>
      <c r="I398" s="156"/>
      <c r="J398" s="133"/>
      <c r="K398" s="330" t="s">
        <v>218</v>
      </c>
      <c r="L398" s="330" t="s">
        <v>218</v>
      </c>
      <c r="M398" s="24">
        <v>9169</v>
      </c>
      <c r="N398" s="330">
        <v>9462</v>
      </c>
      <c r="O398" s="368">
        <v>1055</v>
      </c>
      <c r="P398" s="368" t="s">
        <v>515</v>
      </c>
      <c r="Q398" s="368">
        <v>986</v>
      </c>
      <c r="R398" s="368" t="s">
        <v>515</v>
      </c>
      <c r="S398" s="368">
        <v>613</v>
      </c>
      <c r="T398" s="368" t="s">
        <v>515</v>
      </c>
      <c r="U398" s="368">
        <v>548</v>
      </c>
      <c r="V398" s="368" t="s">
        <v>515</v>
      </c>
      <c r="W398" s="368">
        <v>477</v>
      </c>
      <c r="X398" s="368" t="s">
        <v>515</v>
      </c>
      <c r="Y398" s="368">
        <v>255</v>
      </c>
      <c r="Z398" s="368" t="s">
        <v>515</v>
      </c>
      <c r="AA398" s="368">
        <v>291</v>
      </c>
      <c r="AB398" s="368" t="s">
        <v>515</v>
      </c>
      <c r="AC398" s="368">
        <v>399</v>
      </c>
      <c r="AD398" s="368" t="s">
        <v>515</v>
      </c>
      <c r="AE398" s="368">
        <v>377</v>
      </c>
      <c r="AF398" s="368" t="s">
        <v>515</v>
      </c>
      <c r="AG398" s="368">
        <v>611</v>
      </c>
      <c r="AH398" s="368" t="s">
        <v>515</v>
      </c>
      <c r="AI398" s="368">
        <v>772</v>
      </c>
      <c r="AJ398" s="368" t="s">
        <v>515</v>
      </c>
      <c r="AK398" s="368">
        <v>870</v>
      </c>
      <c r="AL398" s="368" t="s">
        <v>515</v>
      </c>
      <c r="AM398" s="368">
        <f>SUM(O398:AK398)</f>
        <v>7254</v>
      </c>
    </row>
    <row r="399" spans="1:39" s="90" customFormat="1" ht="18" customHeight="1" x14ac:dyDescent="0.3">
      <c r="A399" s="431">
        <v>195</v>
      </c>
      <c r="B399" s="422" t="s">
        <v>773</v>
      </c>
      <c r="C399" s="11" t="s">
        <v>512</v>
      </c>
      <c r="D399" s="156" t="s">
        <v>516</v>
      </c>
      <c r="E399" s="31" t="s">
        <v>364</v>
      </c>
      <c r="F399" s="23" t="s">
        <v>49</v>
      </c>
      <c r="G399" s="374"/>
      <c r="H399" s="133"/>
      <c r="I399" s="156"/>
      <c r="J399" s="133"/>
      <c r="K399" s="330"/>
      <c r="L399" s="330"/>
      <c r="M399" s="24"/>
      <c r="N399" s="330"/>
      <c r="O399" s="368"/>
      <c r="P399" s="368"/>
      <c r="Q399" s="368"/>
      <c r="R399" s="368"/>
      <c r="S399" s="368"/>
      <c r="T399" s="368"/>
      <c r="U399" s="368"/>
      <c r="V399" s="368"/>
      <c r="W399" s="368"/>
      <c r="X399" s="368"/>
      <c r="Y399" s="368"/>
      <c r="Z399" s="368"/>
      <c r="AA399" s="368"/>
      <c r="AB399" s="368"/>
      <c r="AC399" s="368"/>
      <c r="AD399" s="368"/>
      <c r="AE399" s="368"/>
      <c r="AF399" s="368"/>
      <c r="AG399" s="368"/>
      <c r="AH399" s="368"/>
      <c r="AI399" s="368"/>
      <c r="AJ399" s="368"/>
      <c r="AK399" s="368"/>
      <c r="AL399" s="368"/>
      <c r="AM399" s="368"/>
    </row>
    <row r="400" spans="1:39" s="90" customFormat="1" ht="18" customHeight="1" x14ac:dyDescent="0.3">
      <c r="A400" s="432"/>
      <c r="B400" s="423"/>
      <c r="C400" s="12"/>
      <c r="D400" s="156"/>
      <c r="E400" s="31" t="s">
        <v>48</v>
      </c>
      <c r="F400" s="23" t="s">
        <v>49</v>
      </c>
      <c r="G400" s="374" t="s">
        <v>518</v>
      </c>
      <c r="H400" s="133">
        <v>77</v>
      </c>
      <c r="I400" s="156"/>
      <c r="J400" s="133"/>
      <c r="K400" s="330" t="s">
        <v>218</v>
      </c>
      <c r="L400" s="330" t="s">
        <v>218</v>
      </c>
      <c r="M400" s="24">
        <v>10663</v>
      </c>
      <c r="N400" s="330">
        <v>8866</v>
      </c>
      <c r="O400" s="368">
        <v>868</v>
      </c>
      <c r="P400" s="368" t="s">
        <v>515</v>
      </c>
      <c r="Q400" s="368">
        <v>932</v>
      </c>
      <c r="R400" s="368" t="s">
        <v>515</v>
      </c>
      <c r="S400" s="368">
        <v>689</v>
      </c>
      <c r="T400" s="368" t="s">
        <v>515</v>
      </c>
      <c r="U400" s="368">
        <v>561</v>
      </c>
      <c r="V400" s="368" t="s">
        <v>515</v>
      </c>
      <c r="W400" s="368">
        <v>465</v>
      </c>
      <c r="X400" s="368" t="s">
        <v>515</v>
      </c>
      <c r="Y400" s="368">
        <v>283</v>
      </c>
      <c r="Z400" s="368" t="s">
        <v>515</v>
      </c>
      <c r="AA400" s="368">
        <v>437</v>
      </c>
      <c r="AB400" s="368" t="s">
        <v>515</v>
      </c>
      <c r="AC400" s="368">
        <v>489</v>
      </c>
      <c r="AD400" s="368" t="s">
        <v>515</v>
      </c>
      <c r="AE400" s="368">
        <v>517</v>
      </c>
      <c r="AF400" s="368" t="s">
        <v>515</v>
      </c>
      <c r="AG400" s="368">
        <v>607</v>
      </c>
      <c r="AH400" s="368" t="s">
        <v>515</v>
      </c>
      <c r="AI400" s="368">
        <v>814</v>
      </c>
      <c r="AJ400" s="368" t="s">
        <v>515</v>
      </c>
      <c r="AK400" s="368">
        <v>579</v>
      </c>
      <c r="AL400" s="368" t="s">
        <v>515</v>
      </c>
      <c r="AM400" s="368">
        <f t="shared" ref="AM400:AM410" si="13">SUM(O400:AK400)</f>
        <v>7241</v>
      </c>
    </row>
    <row r="401" spans="1:39" s="90" customFormat="1" ht="18" customHeight="1" x14ac:dyDescent="0.3">
      <c r="A401" s="431">
        <v>196</v>
      </c>
      <c r="B401" s="422" t="s">
        <v>774</v>
      </c>
      <c r="C401" s="11" t="s">
        <v>512</v>
      </c>
      <c r="D401" s="156" t="s">
        <v>516</v>
      </c>
      <c r="E401" s="31" t="s">
        <v>364</v>
      </c>
      <c r="F401" s="23" t="s">
        <v>49</v>
      </c>
      <c r="G401" s="374"/>
      <c r="H401" s="133"/>
      <c r="I401" s="156"/>
      <c r="J401" s="133"/>
      <c r="K401" s="330" t="s">
        <v>218</v>
      </c>
      <c r="L401" s="330" t="s">
        <v>218</v>
      </c>
      <c r="M401" s="24">
        <v>13369</v>
      </c>
      <c r="N401" s="330">
        <v>13158</v>
      </c>
      <c r="O401" s="368">
        <v>1174</v>
      </c>
      <c r="P401" s="368" t="s">
        <v>515</v>
      </c>
      <c r="Q401" s="368">
        <v>1182</v>
      </c>
      <c r="R401" s="368" t="s">
        <v>515</v>
      </c>
      <c r="S401" s="368">
        <v>996</v>
      </c>
      <c r="T401" s="368" t="s">
        <v>515</v>
      </c>
      <c r="U401" s="368">
        <v>1228</v>
      </c>
      <c r="V401" s="368" t="s">
        <v>515</v>
      </c>
      <c r="W401" s="368">
        <v>1083</v>
      </c>
      <c r="X401" s="368" t="s">
        <v>515</v>
      </c>
      <c r="Y401" s="368">
        <v>1043</v>
      </c>
      <c r="Z401" s="368" t="s">
        <v>515</v>
      </c>
      <c r="AA401" s="368">
        <v>1190</v>
      </c>
      <c r="AB401" s="368" t="s">
        <v>515</v>
      </c>
      <c r="AC401" s="368">
        <v>901</v>
      </c>
      <c r="AD401" s="368" t="s">
        <v>515</v>
      </c>
      <c r="AE401" s="368">
        <v>1184</v>
      </c>
      <c r="AF401" s="368" t="s">
        <v>515</v>
      </c>
      <c r="AG401" s="368">
        <v>1136</v>
      </c>
      <c r="AH401" s="368" t="s">
        <v>515</v>
      </c>
      <c r="AI401" s="368">
        <v>1123</v>
      </c>
      <c r="AJ401" s="368" t="s">
        <v>515</v>
      </c>
      <c r="AK401" s="368">
        <v>1135</v>
      </c>
      <c r="AL401" s="368" t="s">
        <v>515</v>
      </c>
      <c r="AM401" s="368">
        <f t="shared" si="13"/>
        <v>13375</v>
      </c>
    </row>
    <row r="402" spans="1:39" s="90" customFormat="1" ht="18" customHeight="1" x14ac:dyDescent="0.3">
      <c r="A402" s="432"/>
      <c r="B402" s="423"/>
      <c r="C402" s="12"/>
      <c r="D402" s="156"/>
      <c r="E402" s="31" t="s">
        <v>48</v>
      </c>
      <c r="F402" s="23" t="s">
        <v>49</v>
      </c>
      <c r="G402" s="374" t="s">
        <v>519</v>
      </c>
      <c r="H402" s="133">
        <v>204</v>
      </c>
      <c r="I402" s="156" t="s">
        <v>524</v>
      </c>
      <c r="J402" s="133">
        <v>6</v>
      </c>
      <c r="K402" s="330" t="s">
        <v>218</v>
      </c>
      <c r="L402" s="330" t="s">
        <v>218</v>
      </c>
      <c r="M402" s="24">
        <v>20034</v>
      </c>
      <c r="N402" s="330">
        <v>17622</v>
      </c>
      <c r="O402" s="368">
        <v>1595</v>
      </c>
      <c r="P402" s="368" t="s">
        <v>515</v>
      </c>
      <c r="Q402" s="368">
        <v>1508</v>
      </c>
      <c r="R402" s="368" t="s">
        <v>515</v>
      </c>
      <c r="S402" s="368">
        <v>1144</v>
      </c>
      <c r="T402" s="368" t="s">
        <v>515</v>
      </c>
      <c r="U402" s="368">
        <v>1196</v>
      </c>
      <c r="V402" s="368" t="s">
        <v>515</v>
      </c>
      <c r="W402" s="368">
        <v>814</v>
      </c>
      <c r="X402" s="368" t="s">
        <v>515</v>
      </c>
      <c r="Y402" s="368">
        <v>769</v>
      </c>
      <c r="Z402" s="368" t="s">
        <v>515</v>
      </c>
      <c r="AA402" s="368">
        <v>923</v>
      </c>
      <c r="AB402" s="368" t="s">
        <v>515</v>
      </c>
      <c r="AC402" s="368">
        <v>700</v>
      </c>
      <c r="AD402" s="368" t="s">
        <v>515</v>
      </c>
      <c r="AE402" s="368">
        <v>1108</v>
      </c>
      <c r="AF402" s="368" t="s">
        <v>515</v>
      </c>
      <c r="AG402" s="368">
        <v>1191</v>
      </c>
      <c r="AH402" s="368" t="s">
        <v>515</v>
      </c>
      <c r="AI402" s="368">
        <v>1342</v>
      </c>
      <c r="AJ402" s="368" t="s">
        <v>515</v>
      </c>
      <c r="AK402" s="368">
        <v>1400</v>
      </c>
      <c r="AL402" s="368" t="s">
        <v>515</v>
      </c>
      <c r="AM402" s="368">
        <f t="shared" si="13"/>
        <v>13690</v>
      </c>
    </row>
    <row r="403" spans="1:39" s="90" customFormat="1" ht="18" customHeight="1" x14ac:dyDescent="0.3">
      <c r="A403" s="431">
        <v>197</v>
      </c>
      <c r="B403" s="422" t="s">
        <v>775</v>
      </c>
      <c r="C403" s="11" t="s">
        <v>512</v>
      </c>
      <c r="D403" s="156" t="s">
        <v>516</v>
      </c>
      <c r="E403" s="31" t="s">
        <v>364</v>
      </c>
      <c r="F403" s="23" t="s">
        <v>49</v>
      </c>
      <c r="G403" s="374"/>
      <c r="H403" s="133"/>
      <c r="I403" s="156"/>
      <c r="J403" s="133"/>
      <c r="K403" s="330" t="s">
        <v>218</v>
      </c>
      <c r="L403" s="330" t="s">
        <v>218</v>
      </c>
      <c r="M403" s="24">
        <v>17683</v>
      </c>
      <c r="N403" s="330">
        <v>14421</v>
      </c>
      <c r="O403" s="368">
        <v>1005</v>
      </c>
      <c r="P403" s="368" t="s">
        <v>515</v>
      </c>
      <c r="Q403" s="368">
        <v>1077</v>
      </c>
      <c r="R403" s="368" t="s">
        <v>515</v>
      </c>
      <c r="S403" s="368">
        <v>1196</v>
      </c>
      <c r="T403" s="368" t="s">
        <v>515</v>
      </c>
      <c r="U403" s="368">
        <v>1241</v>
      </c>
      <c r="V403" s="368" t="s">
        <v>515</v>
      </c>
      <c r="W403" s="368">
        <v>1092</v>
      </c>
      <c r="X403" s="368" t="s">
        <v>515</v>
      </c>
      <c r="Y403" s="368">
        <v>1081</v>
      </c>
      <c r="Z403" s="368" t="s">
        <v>515</v>
      </c>
      <c r="AA403" s="368">
        <v>1173</v>
      </c>
      <c r="AB403" s="368" t="s">
        <v>515</v>
      </c>
      <c r="AC403" s="368">
        <v>920</v>
      </c>
      <c r="AD403" s="368" t="s">
        <v>515</v>
      </c>
      <c r="AE403" s="368">
        <v>1288</v>
      </c>
      <c r="AF403" s="368" t="s">
        <v>515</v>
      </c>
      <c r="AG403" s="368">
        <v>1221</v>
      </c>
      <c r="AH403" s="368" t="s">
        <v>515</v>
      </c>
      <c r="AI403" s="368">
        <v>1146</v>
      </c>
      <c r="AJ403" s="368" t="s">
        <v>515</v>
      </c>
      <c r="AK403" s="368">
        <v>1236</v>
      </c>
      <c r="AL403" s="368" t="s">
        <v>515</v>
      </c>
      <c r="AM403" s="368">
        <f t="shared" si="13"/>
        <v>13676</v>
      </c>
    </row>
    <row r="404" spans="1:39" s="90" customFormat="1" ht="18" customHeight="1" x14ac:dyDescent="0.3">
      <c r="A404" s="432"/>
      <c r="B404" s="423"/>
      <c r="C404" s="12"/>
      <c r="D404" s="156"/>
      <c r="E404" s="31" t="s">
        <v>48</v>
      </c>
      <c r="F404" s="23" t="s">
        <v>49</v>
      </c>
      <c r="G404" s="374" t="s">
        <v>519</v>
      </c>
      <c r="H404" s="133">
        <v>204</v>
      </c>
      <c r="I404" s="156" t="s">
        <v>524</v>
      </c>
      <c r="J404" s="133">
        <v>6</v>
      </c>
      <c r="K404" s="330" t="s">
        <v>218</v>
      </c>
      <c r="L404" s="330" t="s">
        <v>218</v>
      </c>
      <c r="M404" s="24">
        <v>15893</v>
      </c>
      <c r="N404" s="330">
        <v>13436</v>
      </c>
      <c r="O404" s="368">
        <v>1312</v>
      </c>
      <c r="P404" s="368" t="s">
        <v>515</v>
      </c>
      <c r="Q404" s="368">
        <v>1121</v>
      </c>
      <c r="R404" s="368" t="s">
        <v>515</v>
      </c>
      <c r="S404" s="368">
        <v>1138</v>
      </c>
      <c r="T404" s="368" t="s">
        <v>515</v>
      </c>
      <c r="U404" s="368">
        <v>961</v>
      </c>
      <c r="V404" s="368" t="s">
        <v>515</v>
      </c>
      <c r="W404" s="368">
        <v>618</v>
      </c>
      <c r="X404" s="368" t="s">
        <v>515</v>
      </c>
      <c r="Y404" s="368">
        <v>471</v>
      </c>
      <c r="Z404" s="368" t="s">
        <v>515</v>
      </c>
      <c r="AA404" s="368">
        <v>518</v>
      </c>
      <c r="AB404" s="368" t="s">
        <v>515</v>
      </c>
      <c r="AC404" s="368">
        <v>592</v>
      </c>
      <c r="AD404" s="368" t="s">
        <v>515</v>
      </c>
      <c r="AE404" s="368">
        <v>1038</v>
      </c>
      <c r="AF404" s="368" t="s">
        <v>515</v>
      </c>
      <c r="AG404" s="368">
        <v>1228</v>
      </c>
      <c r="AH404" s="368" t="s">
        <v>515</v>
      </c>
      <c r="AI404" s="368">
        <v>1280</v>
      </c>
      <c r="AJ404" s="368" t="s">
        <v>515</v>
      </c>
      <c r="AK404" s="368">
        <v>1311</v>
      </c>
      <c r="AL404" s="368" t="s">
        <v>515</v>
      </c>
      <c r="AM404" s="368">
        <f t="shared" si="13"/>
        <v>11588</v>
      </c>
    </row>
    <row r="405" spans="1:39" s="90" customFormat="1" ht="18" customHeight="1" x14ac:dyDescent="0.3">
      <c r="A405" s="431">
        <v>198</v>
      </c>
      <c r="B405" s="422" t="s">
        <v>776</v>
      </c>
      <c r="C405" s="11" t="s">
        <v>512</v>
      </c>
      <c r="D405" s="156" t="s">
        <v>516</v>
      </c>
      <c r="E405" s="31" t="s">
        <v>364</v>
      </c>
      <c r="F405" s="23" t="s">
        <v>49</v>
      </c>
      <c r="G405" s="374"/>
      <c r="H405" s="133"/>
      <c r="I405" s="156"/>
      <c r="J405" s="133"/>
      <c r="K405" s="330" t="s">
        <v>218</v>
      </c>
      <c r="L405" s="330" t="s">
        <v>218</v>
      </c>
      <c r="M405" s="24">
        <v>17006</v>
      </c>
      <c r="N405" s="330">
        <v>13776</v>
      </c>
      <c r="O405" s="368">
        <v>983</v>
      </c>
      <c r="P405" s="368" t="s">
        <v>515</v>
      </c>
      <c r="Q405" s="368">
        <v>1166</v>
      </c>
      <c r="R405" s="368" t="s">
        <v>515</v>
      </c>
      <c r="S405" s="368">
        <v>1049</v>
      </c>
      <c r="T405" s="368" t="s">
        <v>515</v>
      </c>
      <c r="U405" s="368">
        <v>1231</v>
      </c>
      <c r="V405" s="368" t="s">
        <v>515</v>
      </c>
      <c r="W405" s="368">
        <v>1091</v>
      </c>
      <c r="X405" s="368" t="s">
        <v>515</v>
      </c>
      <c r="Y405" s="368">
        <v>1108</v>
      </c>
      <c r="Z405" s="368" t="s">
        <v>515</v>
      </c>
      <c r="AA405" s="368">
        <v>1029</v>
      </c>
      <c r="AB405" s="368" t="s">
        <v>515</v>
      </c>
      <c r="AC405" s="368">
        <v>949</v>
      </c>
      <c r="AD405" s="368" t="s">
        <v>515</v>
      </c>
      <c r="AE405" s="368">
        <v>994</v>
      </c>
      <c r="AF405" s="368" t="s">
        <v>515</v>
      </c>
      <c r="AG405" s="368">
        <v>1331</v>
      </c>
      <c r="AH405" s="368" t="s">
        <v>515</v>
      </c>
      <c r="AI405" s="368">
        <v>1095</v>
      </c>
      <c r="AJ405" s="368" t="s">
        <v>515</v>
      </c>
      <c r="AK405" s="368">
        <v>1213</v>
      </c>
      <c r="AL405" s="368" t="s">
        <v>515</v>
      </c>
      <c r="AM405" s="368">
        <f t="shared" si="13"/>
        <v>13239</v>
      </c>
    </row>
    <row r="406" spans="1:39" s="90" customFormat="1" ht="18" customHeight="1" x14ac:dyDescent="0.3">
      <c r="A406" s="432"/>
      <c r="B406" s="423"/>
      <c r="C406" s="12"/>
      <c r="D406" s="156"/>
      <c r="E406" s="31" t="s">
        <v>48</v>
      </c>
      <c r="F406" s="23" t="s">
        <v>49</v>
      </c>
      <c r="G406" s="374" t="s">
        <v>519</v>
      </c>
      <c r="H406" s="133">
        <v>156</v>
      </c>
      <c r="I406" s="156" t="s">
        <v>524</v>
      </c>
      <c r="J406" s="133">
        <v>9</v>
      </c>
      <c r="K406" s="330" t="s">
        <v>218</v>
      </c>
      <c r="L406" s="330" t="s">
        <v>218</v>
      </c>
      <c r="M406" s="24">
        <v>15581</v>
      </c>
      <c r="N406" s="330">
        <v>11929</v>
      </c>
      <c r="O406" s="368">
        <v>1106</v>
      </c>
      <c r="P406" s="368" t="s">
        <v>515</v>
      </c>
      <c r="Q406" s="368">
        <v>1222</v>
      </c>
      <c r="R406" s="368" t="s">
        <v>515</v>
      </c>
      <c r="S406" s="368">
        <v>908</v>
      </c>
      <c r="T406" s="368" t="s">
        <v>515</v>
      </c>
      <c r="U406" s="368">
        <v>963</v>
      </c>
      <c r="V406" s="368" t="s">
        <v>515</v>
      </c>
      <c r="W406" s="368">
        <v>680</v>
      </c>
      <c r="X406" s="368" t="s">
        <v>515</v>
      </c>
      <c r="Y406" s="368">
        <v>836</v>
      </c>
      <c r="Z406" s="368" t="s">
        <v>515</v>
      </c>
      <c r="AA406" s="368">
        <v>685</v>
      </c>
      <c r="AB406" s="368" t="s">
        <v>515</v>
      </c>
      <c r="AC406" s="368">
        <v>728</v>
      </c>
      <c r="AD406" s="368" t="s">
        <v>515</v>
      </c>
      <c r="AE406" s="368">
        <v>777</v>
      </c>
      <c r="AF406" s="368" t="s">
        <v>515</v>
      </c>
      <c r="AG406" s="368">
        <v>1160</v>
      </c>
      <c r="AH406" s="368" t="s">
        <v>515</v>
      </c>
      <c r="AI406" s="368">
        <v>1101</v>
      </c>
      <c r="AJ406" s="368" t="s">
        <v>515</v>
      </c>
      <c r="AK406" s="368">
        <v>1167</v>
      </c>
      <c r="AL406" s="368" t="s">
        <v>515</v>
      </c>
      <c r="AM406" s="368">
        <f t="shared" si="13"/>
        <v>11333</v>
      </c>
    </row>
    <row r="407" spans="1:39" s="90" customFormat="1" ht="18" customHeight="1" x14ac:dyDescent="0.3">
      <c r="A407" s="431">
        <v>199</v>
      </c>
      <c r="B407" s="422" t="s">
        <v>777</v>
      </c>
      <c r="C407" s="11" t="s">
        <v>512</v>
      </c>
      <c r="D407" s="156" t="s">
        <v>516</v>
      </c>
      <c r="E407" s="31" t="s">
        <v>364</v>
      </c>
      <c r="F407" s="23" t="s">
        <v>49</v>
      </c>
      <c r="G407" s="374"/>
      <c r="H407" s="133"/>
      <c r="I407" s="156"/>
      <c r="J407" s="133"/>
      <c r="K407" s="330" t="s">
        <v>218</v>
      </c>
      <c r="L407" s="330" t="s">
        <v>218</v>
      </c>
      <c r="M407" s="24">
        <v>85160</v>
      </c>
      <c r="N407" s="330">
        <v>83040</v>
      </c>
      <c r="O407" s="368">
        <v>6540</v>
      </c>
      <c r="P407" s="368" t="s">
        <v>515</v>
      </c>
      <c r="Q407" s="368">
        <v>7100</v>
      </c>
      <c r="R407" s="368" t="s">
        <v>515</v>
      </c>
      <c r="S407" s="368">
        <v>6360</v>
      </c>
      <c r="T407" s="368" t="s">
        <v>515</v>
      </c>
      <c r="U407" s="368">
        <v>7380</v>
      </c>
      <c r="V407" s="368" t="s">
        <v>515</v>
      </c>
      <c r="W407" s="368">
        <v>6920</v>
      </c>
      <c r="X407" s="368" t="s">
        <v>515</v>
      </c>
      <c r="Y407" s="368">
        <v>7400</v>
      </c>
      <c r="Z407" s="368" t="s">
        <v>515</v>
      </c>
      <c r="AA407" s="368">
        <v>6100</v>
      </c>
      <c r="AB407" s="368" t="s">
        <v>515</v>
      </c>
      <c r="AC407" s="368">
        <v>6080</v>
      </c>
      <c r="AD407" s="368" t="s">
        <v>515</v>
      </c>
      <c r="AE407" s="368">
        <v>7260</v>
      </c>
      <c r="AF407" s="368" t="s">
        <v>515</v>
      </c>
      <c r="AG407" s="368">
        <v>6820</v>
      </c>
      <c r="AH407" s="368" t="s">
        <v>515</v>
      </c>
      <c r="AI407" s="368">
        <v>6580</v>
      </c>
      <c r="AJ407" s="368" t="s">
        <v>515</v>
      </c>
      <c r="AK407" s="368">
        <v>7160</v>
      </c>
      <c r="AL407" s="368" t="s">
        <v>515</v>
      </c>
      <c r="AM407" s="368">
        <f t="shared" si="13"/>
        <v>81700</v>
      </c>
    </row>
    <row r="408" spans="1:39" s="90" customFormat="1" ht="18" customHeight="1" x14ac:dyDescent="0.3">
      <c r="A408" s="432"/>
      <c r="B408" s="423"/>
      <c r="C408" s="12"/>
      <c r="D408" s="156"/>
      <c r="E408" s="31" t="s">
        <v>48</v>
      </c>
      <c r="F408" s="23" t="s">
        <v>49</v>
      </c>
      <c r="G408" s="374" t="s">
        <v>577</v>
      </c>
      <c r="H408" s="133">
        <v>874</v>
      </c>
      <c r="I408" s="156" t="s">
        <v>525</v>
      </c>
      <c r="J408" s="133">
        <v>12</v>
      </c>
      <c r="K408" s="330" t="s">
        <v>218</v>
      </c>
      <c r="L408" s="330" t="s">
        <v>218</v>
      </c>
      <c r="M408" s="24">
        <v>156220</v>
      </c>
      <c r="N408" s="330">
        <v>149360</v>
      </c>
      <c r="O408" s="368">
        <v>14550</v>
      </c>
      <c r="P408" s="368" t="s">
        <v>515</v>
      </c>
      <c r="Q408" s="368">
        <v>13670</v>
      </c>
      <c r="R408" s="368" t="s">
        <v>515</v>
      </c>
      <c r="S408" s="368">
        <v>11850</v>
      </c>
      <c r="T408" s="368" t="s">
        <v>515</v>
      </c>
      <c r="U408" s="368">
        <v>12690</v>
      </c>
      <c r="V408" s="368" t="s">
        <v>515</v>
      </c>
      <c r="W408" s="368">
        <v>10790</v>
      </c>
      <c r="X408" s="368" t="s">
        <v>515</v>
      </c>
      <c r="Y408" s="368">
        <v>11150</v>
      </c>
      <c r="Z408" s="368" t="s">
        <v>515</v>
      </c>
      <c r="AA408" s="368">
        <v>9760</v>
      </c>
      <c r="AB408" s="368" t="s">
        <v>515</v>
      </c>
      <c r="AC408" s="368">
        <v>9340</v>
      </c>
      <c r="AD408" s="368" t="s">
        <v>515</v>
      </c>
      <c r="AE408" s="368">
        <v>10630</v>
      </c>
      <c r="AF408" s="368" t="s">
        <v>515</v>
      </c>
      <c r="AG408" s="368">
        <v>11070</v>
      </c>
      <c r="AH408" s="368" t="s">
        <v>515</v>
      </c>
      <c r="AI408" s="368">
        <v>12090</v>
      </c>
      <c r="AJ408" s="368" t="s">
        <v>515</v>
      </c>
      <c r="AK408" s="368">
        <v>12190</v>
      </c>
      <c r="AL408" s="368" t="s">
        <v>515</v>
      </c>
      <c r="AM408" s="368">
        <f t="shared" si="13"/>
        <v>139780</v>
      </c>
    </row>
    <row r="409" spans="1:39" s="90" customFormat="1" ht="18" customHeight="1" x14ac:dyDescent="0.3">
      <c r="A409" s="431">
        <v>200</v>
      </c>
      <c r="B409" s="422" t="s">
        <v>778</v>
      </c>
      <c r="C409" s="11" t="s">
        <v>512</v>
      </c>
      <c r="D409" s="156" t="s">
        <v>578</v>
      </c>
      <c r="E409" s="31" t="s">
        <v>364</v>
      </c>
      <c r="F409" s="23" t="s">
        <v>49</v>
      </c>
      <c r="G409" s="374"/>
      <c r="H409" s="133"/>
      <c r="I409" s="156"/>
      <c r="J409" s="133"/>
      <c r="K409" s="330" t="s">
        <v>218</v>
      </c>
      <c r="L409" s="330" t="s">
        <v>218</v>
      </c>
      <c r="M409" s="24">
        <v>67680</v>
      </c>
      <c r="N409" s="330">
        <v>56200</v>
      </c>
      <c r="O409" s="368">
        <v>1760</v>
      </c>
      <c r="P409" s="368" t="s">
        <v>515</v>
      </c>
      <c r="Q409" s="368">
        <v>3500</v>
      </c>
      <c r="R409" s="368" t="s">
        <v>515</v>
      </c>
      <c r="S409" s="368">
        <v>3020</v>
      </c>
      <c r="T409" s="368" t="s">
        <v>515</v>
      </c>
      <c r="U409" s="368">
        <v>3040</v>
      </c>
      <c r="V409" s="368" t="s">
        <v>515</v>
      </c>
      <c r="W409" s="368">
        <v>2880</v>
      </c>
      <c r="X409" s="368" t="s">
        <v>515</v>
      </c>
      <c r="Y409" s="368">
        <v>2860</v>
      </c>
      <c r="Z409" s="368" t="s">
        <v>515</v>
      </c>
      <c r="AA409" s="368">
        <v>2600</v>
      </c>
      <c r="AB409" s="368" t="s">
        <v>515</v>
      </c>
      <c r="AC409" s="368">
        <v>2320</v>
      </c>
      <c r="AD409" s="368" t="s">
        <v>515</v>
      </c>
      <c r="AE409" s="368">
        <v>2860</v>
      </c>
      <c r="AF409" s="368" t="s">
        <v>515</v>
      </c>
      <c r="AG409" s="368">
        <v>2720</v>
      </c>
      <c r="AH409" s="368" t="s">
        <v>515</v>
      </c>
      <c r="AI409" s="368">
        <v>2720</v>
      </c>
      <c r="AJ409" s="368" t="s">
        <v>515</v>
      </c>
      <c r="AK409" s="368">
        <v>2760</v>
      </c>
      <c r="AL409" s="368" t="s">
        <v>515</v>
      </c>
      <c r="AM409" s="368">
        <f t="shared" si="13"/>
        <v>33040</v>
      </c>
    </row>
    <row r="410" spans="1:39" s="90" customFormat="1" ht="18" customHeight="1" x14ac:dyDescent="0.3">
      <c r="A410" s="432"/>
      <c r="B410" s="423"/>
      <c r="C410" s="12"/>
      <c r="D410" s="156"/>
      <c r="E410" s="31" t="s">
        <v>48</v>
      </c>
      <c r="F410" s="23" t="s">
        <v>49</v>
      </c>
      <c r="G410" s="374" t="s">
        <v>577</v>
      </c>
      <c r="H410" s="133">
        <v>1086</v>
      </c>
      <c r="I410" s="156" t="s">
        <v>525</v>
      </c>
      <c r="J410" s="133">
        <v>14</v>
      </c>
      <c r="K410" s="330" t="s">
        <v>218</v>
      </c>
      <c r="L410" s="330" t="s">
        <v>218</v>
      </c>
      <c r="M410" s="24">
        <v>111505</v>
      </c>
      <c r="N410" s="330">
        <v>152573</v>
      </c>
      <c r="O410" s="368">
        <v>15917</v>
      </c>
      <c r="P410" s="368" t="s">
        <v>515</v>
      </c>
      <c r="Q410" s="368">
        <v>12054</v>
      </c>
      <c r="R410" s="368" t="s">
        <v>515</v>
      </c>
      <c r="S410" s="368">
        <v>11595</v>
      </c>
      <c r="T410" s="368" t="s">
        <v>515</v>
      </c>
      <c r="U410" s="368">
        <v>12256</v>
      </c>
      <c r="V410" s="368" t="s">
        <v>515</v>
      </c>
      <c r="W410" s="368">
        <v>10863</v>
      </c>
      <c r="X410" s="368" t="s">
        <v>515</v>
      </c>
      <c r="Y410" s="368">
        <v>10454</v>
      </c>
      <c r="Z410" s="368" t="s">
        <v>515</v>
      </c>
      <c r="AA410" s="368">
        <v>8881</v>
      </c>
      <c r="AB410" s="368" t="s">
        <v>515</v>
      </c>
      <c r="AC410" s="368">
        <v>8942</v>
      </c>
      <c r="AD410" s="368" t="s">
        <v>515</v>
      </c>
      <c r="AE410" s="368">
        <v>10986</v>
      </c>
      <c r="AF410" s="368" t="s">
        <v>515</v>
      </c>
      <c r="AG410" s="368">
        <v>10943</v>
      </c>
      <c r="AH410" s="368" t="s">
        <v>515</v>
      </c>
      <c r="AI410" s="368">
        <v>12171</v>
      </c>
      <c r="AJ410" s="368" t="s">
        <v>515</v>
      </c>
      <c r="AK410" s="368">
        <v>12414</v>
      </c>
      <c r="AL410" s="368" t="s">
        <v>515</v>
      </c>
      <c r="AM410" s="368">
        <f t="shared" si="13"/>
        <v>137476</v>
      </c>
    </row>
    <row r="411" spans="1:39" s="90" customFormat="1" ht="18" customHeight="1" x14ac:dyDescent="0.3">
      <c r="A411" s="431">
        <v>201</v>
      </c>
      <c r="B411" s="422" t="s">
        <v>779</v>
      </c>
      <c r="C411" s="12" t="s">
        <v>579</v>
      </c>
      <c r="D411" s="156" t="s">
        <v>516</v>
      </c>
      <c r="E411" s="31" t="s">
        <v>364</v>
      </c>
      <c r="F411" s="23" t="s">
        <v>49</v>
      </c>
      <c r="G411" s="374"/>
      <c r="H411" s="133"/>
      <c r="I411" s="156"/>
      <c r="J411" s="133"/>
      <c r="K411" s="330"/>
      <c r="L411" s="330"/>
      <c r="M411" s="24"/>
      <c r="N411" s="330"/>
      <c r="O411" s="368"/>
      <c r="P411" s="368"/>
      <c r="Q411" s="368"/>
      <c r="R411" s="368"/>
      <c r="S411" s="368"/>
      <c r="T411" s="368"/>
      <c r="U411" s="368"/>
      <c r="V411" s="368"/>
      <c r="W411" s="368"/>
      <c r="X411" s="368"/>
      <c r="Y411" s="368"/>
      <c r="Z411" s="368"/>
      <c r="AA411" s="368"/>
      <c r="AB411" s="368"/>
      <c r="AC411" s="368"/>
      <c r="AD411" s="368"/>
      <c r="AE411" s="368"/>
      <c r="AF411" s="368"/>
      <c r="AG411" s="368"/>
      <c r="AH411" s="368"/>
      <c r="AI411" s="368"/>
      <c r="AJ411" s="368"/>
      <c r="AK411" s="368"/>
      <c r="AL411" s="368"/>
      <c r="AM411" s="368"/>
    </row>
    <row r="412" spans="1:39" s="90" customFormat="1" ht="18" customHeight="1" x14ac:dyDescent="0.3">
      <c r="A412" s="432"/>
      <c r="B412" s="423"/>
      <c r="C412" s="12"/>
      <c r="D412" s="156"/>
      <c r="E412" s="31" t="s">
        <v>48</v>
      </c>
      <c r="F412" s="23" t="s">
        <v>49</v>
      </c>
      <c r="G412" s="374" t="s">
        <v>518</v>
      </c>
      <c r="H412" s="133">
        <v>16</v>
      </c>
      <c r="I412" s="156" t="s">
        <v>525</v>
      </c>
      <c r="J412" s="133">
        <v>1</v>
      </c>
      <c r="K412" s="330"/>
      <c r="L412" s="330"/>
      <c r="M412" s="24"/>
      <c r="N412" s="330"/>
      <c r="O412" s="368"/>
      <c r="P412" s="368"/>
      <c r="Q412" s="368"/>
      <c r="R412" s="368"/>
      <c r="S412" s="368"/>
      <c r="T412" s="368"/>
      <c r="U412" s="368"/>
      <c r="V412" s="368"/>
      <c r="W412" s="368"/>
      <c r="X412" s="368"/>
      <c r="Y412" s="368"/>
      <c r="Z412" s="368"/>
      <c r="AA412" s="368"/>
      <c r="AB412" s="368"/>
      <c r="AC412" s="368"/>
      <c r="AD412" s="368"/>
      <c r="AE412" s="368"/>
      <c r="AF412" s="368"/>
      <c r="AG412" s="368"/>
      <c r="AH412" s="368"/>
      <c r="AI412" s="368"/>
      <c r="AJ412" s="368"/>
      <c r="AK412" s="368"/>
      <c r="AL412" s="368"/>
      <c r="AM412" s="368"/>
    </row>
    <row r="413" spans="1:39" s="90" customFormat="1" ht="18" customHeight="1" x14ac:dyDescent="0.3">
      <c r="A413" s="431">
        <v>202</v>
      </c>
      <c r="B413" s="422" t="s">
        <v>780</v>
      </c>
      <c r="C413" s="12" t="s">
        <v>579</v>
      </c>
      <c r="D413" s="156" t="s">
        <v>516</v>
      </c>
      <c r="E413" s="31" t="s">
        <v>364</v>
      </c>
      <c r="F413" s="23" t="s">
        <v>49</v>
      </c>
      <c r="G413" s="374"/>
      <c r="H413" s="133"/>
      <c r="I413" s="156"/>
      <c r="J413" s="133"/>
      <c r="K413" s="330"/>
      <c r="L413" s="330"/>
      <c r="M413" s="24"/>
      <c r="N413" s="330"/>
      <c r="O413" s="368"/>
      <c r="P413" s="368"/>
      <c r="Q413" s="368"/>
      <c r="R413" s="368"/>
      <c r="S413" s="368"/>
      <c r="T413" s="368"/>
      <c r="U413" s="368"/>
      <c r="V413" s="368"/>
      <c r="W413" s="368"/>
      <c r="X413" s="368"/>
      <c r="Y413" s="368"/>
      <c r="Z413" s="368"/>
      <c r="AA413" s="368"/>
      <c r="AB413" s="368"/>
      <c r="AC413" s="368"/>
      <c r="AD413" s="368"/>
      <c r="AE413" s="368"/>
      <c r="AF413" s="368"/>
      <c r="AG413" s="368"/>
      <c r="AH413" s="368"/>
      <c r="AI413" s="368"/>
      <c r="AJ413" s="368"/>
      <c r="AK413" s="368"/>
      <c r="AL413" s="368"/>
      <c r="AM413" s="368"/>
    </row>
    <row r="414" spans="1:39" s="90" customFormat="1" ht="18" customHeight="1" x14ac:dyDescent="0.3">
      <c r="A414" s="432"/>
      <c r="B414" s="423"/>
      <c r="C414" s="12"/>
      <c r="D414" s="156"/>
      <c r="E414" s="31" t="s">
        <v>48</v>
      </c>
      <c r="F414" s="23" t="s">
        <v>49</v>
      </c>
      <c r="G414" s="374" t="s">
        <v>521</v>
      </c>
      <c r="H414" s="133">
        <v>42</v>
      </c>
      <c r="I414" s="156" t="s">
        <v>525</v>
      </c>
      <c r="J414" s="133">
        <v>2</v>
      </c>
      <c r="K414" s="330"/>
      <c r="L414" s="330"/>
      <c r="M414" s="24"/>
      <c r="N414" s="330"/>
      <c r="O414" s="368"/>
      <c r="P414" s="368"/>
      <c r="Q414" s="368"/>
      <c r="R414" s="368"/>
      <c r="S414" s="368"/>
      <c r="T414" s="368"/>
      <c r="U414" s="368"/>
      <c r="V414" s="368"/>
      <c r="W414" s="368"/>
      <c r="X414" s="368"/>
      <c r="Y414" s="368"/>
      <c r="Z414" s="368"/>
      <c r="AA414" s="368"/>
      <c r="AB414" s="368"/>
      <c r="AC414" s="368"/>
      <c r="AD414" s="368"/>
      <c r="AE414" s="368"/>
      <c r="AF414" s="368"/>
      <c r="AG414" s="368"/>
      <c r="AH414" s="368"/>
      <c r="AI414" s="368"/>
      <c r="AJ414" s="368"/>
      <c r="AK414" s="368"/>
      <c r="AL414" s="368"/>
      <c r="AM414" s="368"/>
    </row>
    <row r="415" spans="1:39" s="90" customFormat="1" ht="18" customHeight="1" x14ac:dyDescent="0.3">
      <c r="A415" s="431">
        <v>203</v>
      </c>
      <c r="B415" s="422" t="s">
        <v>781</v>
      </c>
      <c r="C415" s="12" t="s">
        <v>579</v>
      </c>
      <c r="D415" s="156" t="s">
        <v>516</v>
      </c>
      <c r="E415" s="31" t="s">
        <v>364</v>
      </c>
      <c r="F415" s="23" t="s">
        <v>49</v>
      </c>
      <c r="G415" s="374"/>
      <c r="H415" s="133"/>
      <c r="I415" s="156"/>
      <c r="J415" s="133"/>
      <c r="K415" s="330"/>
      <c r="L415" s="330"/>
      <c r="M415" s="24"/>
      <c r="N415" s="330"/>
      <c r="O415" s="368"/>
      <c r="P415" s="368"/>
      <c r="Q415" s="368"/>
      <c r="R415" s="368"/>
      <c r="S415" s="368"/>
      <c r="T415" s="368"/>
      <c r="U415" s="368"/>
      <c r="V415" s="368"/>
      <c r="W415" s="368"/>
      <c r="X415" s="368"/>
      <c r="Y415" s="368"/>
      <c r="Z415" s="368"/>
      <c r="AA415" s="368"/>
      <c r="AB415" s="368"/>
      <c r="AC415" s="368"/>
      <c r="AD415" s="368"/>
      <c r="AE415" s="368"/>
      <c r="AF415" s="368"/>
      <c r="AG415" s="368"/>
      <c r="AH415" s="368"/>
      <c r="AI415" s="368"/>
      <c r="AJ415" s="368"/>
      <c r="AK415" s="368"/>
      <c r="AL415" s="368"/>
      <c r="AM415" s="368"/>
    </row>
    <row r="416" spans="1:39" s="90" customFormat="1" ht="18" customHeight="1" x14ac:dyDescent="0.3">
      <c r="A416" s="432"/>
      <c r="B416" s="423"/>
      <c r="C416" s="12"/>
      <c r="D416" s="156"/>
      <c r="E416" s="31" t="s">
        <v>48</v>
      </c>
      <c r="F416" s="23" t="s">
        <v>49</v>
      </c>
      <c r="G416" s="374" t="s">
        <v>518</v>
      </c>
      <c r="H416" s="133">
        <v>12</v>
      </c>
      <c r="I416" s="156" t="s">
        <v>525</v>
      </c>
      <c r="J416" s="133">
        <v>1</v>
      </c>
      <c r="K416" s="330"/>
      <c r="L416" s="330"/>
      <c r="M416" s="24"/>
      <c r="N416" s="330"/>
      <c r="O416" s="368"/>
      <c r="P416" s="368"/>
      <c r="Q416" s="368"/>
      <c r="R416" s="368"/>
      <c r="S416" s="368"/>
      <c r="T416" s="368"/>
      <c r="U416" s="368"/>
      <c r="V416" s="368"/>
      <c r="W416" s="368"/>
      <c r="X416" s="368"/>
      <c r="Y416" s="368"/>
      <c r="Z416" s="368"/>
      <c r="AA416" s="368"/>
      <c r="AB416" s="368"/>
      <c r="AC416" s="368"/>
      <c r="AD416" s="368"/>
      <c r="AE416" s="368"/>
      <c r="AF416" s="368"/>
      <c r="AG416" s="368"/>
      <c r="AH416" s="368"/>
      <c r="AI416" s="368"/>
      <c r="AJ416" s="368"/>
      <c r="AK416" s="368"/>
      <c r="AL416" s="368"/>
      <c r="AM416" s="368"/>
    </row>
    <row r="417" spans="1:39" s="90" customFormat="1" ht="18" customHeight="1" x14ac:dyDescent="0.3">
      <c r="A417" s="431">
        <v>204</v>
      </c>
      <c r="B417" s="422" t="s">
        <v>782</v>
      </c>
      <c r="C417" s="12" t="s">
        <v>579</v>
      </c>
      <c r="D417" s="156" t="s">
        <v>516</v>
      </c>
      <c r="E417" s="31" t="s">
        <v>364</v>
      </c>
      <c r="F417" s="23" t="s">
        <v>49</v>
      </c>
      <c r="G417" s="374"/>
      <c r="H417" s="133"/>
      <c r="I417" s="156"/>
      <c r="J417" s="133"/>
      <c r="K417" s="330"/>
      <c r="L417" s="330"/>
      <c r="M417" s="24"/>
      <c r="N417" s="330"/>
      <c r="O417" s="368"/>
      <c r="P417" s="368"/>
      <c r="Q417" s="368"/>
      <c r="R417" s="368"/>
      <c r="S417" s="368"/>
      <c r="T417" s="368"/>
      <c r="U417" s="368"/>
      <c r="V417" s="368"/>
      <c r="W417" s="368"/>
      <c r="X417" s="368"/>
      <c r="Y417" s="368"/>
      <c r="Z417" s="368"/>
      <c r="AA417" s="368"/>
      <c r="AB417" s="368"/>
      <c r="AC417" s="368"/>
      <c r="AD417" s="368"/>
      <c r="AE417" s="368"/>
      <c r="AF417" s="368"/>
      <c r="AG417" s="368"/>
      <c r="AH417" s="368"/>
      <c r="AI417" s="368"/>
      <c r="AJ417" s="368"/>
      <c r="AK417" s="368"/>
      <c r="AL417" s="368"/>
      <c r="AM417" s="368"/>
    </row>
    <row r="418" spans="1:39" s="90" customFormat="1" ht="18" customHeight="1" x14ac:dyDescent="0.3">
      <c r="A418" s="432"/>
      <c r="B418" s="423"/>
      <c r="C418" s="12"/>
      <c r="D418" s="156"/>
      <c r="E418" s="31" t="s">
        <v>48</v>
      </c>
      <c r="F418" s="23" t="s">
        <v>49</v>
      </c>
      <c r="G418" s="374" t="s">
        <v>521</v>
      </c>
      <c r="H418" s="133">
        <v>14</v>
      </c>
      <c r="I418" s="156"/>
      <c r="J418" s="133"/>
      <c r="K418" s="330"/>
      <c r="L418" s="330"/>
      <c r="M418" s="24"/>
      <c r="N418" s="330"/>
      <c r="O418" s="368"/>
      <c r="P418" s="368"/>
      <c r="Q418" s="368"/>
      <c r="R418" s="368"/>
      <c r="S418" s="368"/>
      <c r="T418" s="368"/>
      <c r="U418" s="368"/>
      <c r="V418" s="368"/>
      <c r="W418" s="368"/>
      <c r="X418" s="368"/>
      <c r="Y418" s="368"/>
      <c r="Z418" s="368"/>
      <c r="AA418" s="368"/>
      <c r="AB418" s="368"/>
      <c r="AC418" s="368"/>
      <c r="AD418" s="368"/>
      <c r="AE418" s="368"/>
      <c r="AF418" s="368"/>
      <c r="AG418" s="368"/>
      <c r="AH418" s="368"/>
      <c r="AI418" s="368"/>
      <c r="AJ418" s="368"/>
      <c r="AK418" s="368"/>
      <c r="AL418" s="368"/>
      <c r="AM418" s="368"/>
    </row>
    <row r="419" spans="1:39" s="90" customFormat="1" ht="18" customHeight="1" x14ac:dyDescent="0.3">
      <c r="A419" s="431">
        <v>205</v>
      </c>
      <c r="B419" s="422" t="s">
        <v>783</v>
      </c>
      <c r="C419" s="12" t="s">
        <v>579</v>
      </c>
      <c r="D419" s="156" t="s">
        <v>516</v>
      </c>
      <c r="E419" s="31" t="s">
        <v>364</v>
      </c>
      <c r="F419" s="23" t="s">
        <v>49</v>
      </c>
      <c r="G419" s="374"/>
      <c r="H419" s="133"/>
      <c r="I419" s="156"/>
      <c r="J419" s="133"/>
      <c r="K419" s="330"/>
      <c r="L419" s="330"/>
      <c r="M419" s="24"/>
      <c r="N419" s="330"/>
      <c r="O419" s="368"/>
      <c r="P419" s="368"/>
      <c r="Q419" s="368"/>
      <c r="R419" s="368"/>
      <c r="S419" s="368"/>
      <c r="T419" s="368"/>
      <c r="U419" s="368"/>
      <c r="V419" s="368"/>
      <c r="W419" s="368"/>
      <c r="X419" s="368"/>
      <c r="Y419" s="368"/>
      <c r="Z419" s="368"/>
      <c r="AA419" s="368"/>
      <c r="AB419" s="368"/>
      <c r="AC419" s="368"/>
      <c r="AD419" s="368"/>
      <c r="AE419" s="368"/>
      <c r="AF419" s="368"/>
      <c r="AG419" s="368"/>
      <c r="AH419" s="368"/>
      <c r="AI419" s="368"/>
      <c r="AJ419" s="368"/>
      <c r="AK419" s="368"/>
      <c r="AL419" s="368"/>
      <c r="AM419" s="368"/>
    </row>
    <row r="420" spans="1:39" s="90" customFormat="1" ht="18" customHeight="1" x14ac:dyDescent="0.3">
      <c r="A420" s="432"/>
      <c r="B420" s="423"/>
      <c r="C420" s="12"/>
      <c r="D420" s="156"/>
      <c r="E420" s="31" t="s">
        <v>48</v>
      </c>
      <c r="F420" s="23" t="s">
        <v>49</v>
      </c>
      <c r="G420" s="374" t="s">
        <v>521</v>
      </c>
      <c r="H420" s="133">
        <v>14</v>
      </c>
      <c r="I420" s="156"/>
      <c r="J420" s="133"/>
      <c r="K420" s="330"/>
      <c r="L420" s="330"/>
      <c r="M420" s="24"/>
      <c r="N420" s="330"/>
      <c r="O420" s="368"/>
      <c r="P420" s="368"/>
      <c r="Q420" s="368"/>
      <c r="R420" s="368"/>
      <c r="S420" s="368"/>
      <c r="T420" s="368"/>
      <c r="U420" s="368"/>
      <c r="V420" s="368"/>
      <c r="W420" s="368"/>
      <c r="X420" s="368"/>
      <c r="Y420" s="368"/>
      <c r="Z420" s="368"/>
      <c r="AA420" s="368"/>
      <c r="AB420" s="368"/>
      <c r="AC420" s="368"/>
      <c r="AD420" s="368"/>
      <c r="AE420" s="368"/>
      <c r="AF420" s="368"/>
      <c r="AG420" s="368"/>
      <c r="AH420" s="368"/>
      <c r="AI420" s="368"/>
      <c r="AJ420" s="368"/>
      <c r="AK420" s="368"/>
      <c r="AL420" s="368"/>
      <c r="AM420" s="368"/>
    </row>
    <row r="421" spans="1:39" s="90" customFormat="1" ht="18" customHeight="1" x14ac:dyDescent="0.3">
      <c r="A421" s="431">
        <v>206</v>
      </c>
      <c r="B421" s="422" t="s">
        <v>784</v>
      </c>
      <c r="C421" s="12" t="s">
        <v>579</v>
      </c>
      <c r="D421" s="156" t="s">
        <v>516</v>
      </c>
      <c r="E421" s="31" t="s">
        <v>364</v>
      </c>
      <c r="F421" s="23" t="s">
        <v>49</v>
      </c>
      <c r="G421" s="374"/>
      <c r="H421" s="133"/>
      <c r="I421" s="156"/>
      <c r="J421" s="133"/>
      <c r="K421" s="330"/>
      <c r="L421" s="330"/>
      <c r="M421" s="24"/>
      <c r="N421" s="330"/>
      <c r="O421" s="368"/>
      <c r="P421" s="368"/>
      <c r="Q421" s="368"/>
      <c r="R421" s="368"/>
      <c r="S421" s="368"/>
      <c r="T421" s="368"/>
      <c r="U421" s="368"/>
      <c r="V421" s="368"/>
      <c r="W421" s="368"/>
      <c r="X421" s="368"/>
      <c r="Y421" s="368"/>
      <c r="Z421" s="368"/>
      <c r="AA421" s="368"/>
      <c r="AB421" s="368"/>
      <c r="AC421" s="368"/>
      <c r="AD421" s="368"/>
      <c r="AE421" s="368"/>
      <c r="AF421" s="368"/>
      <c r="AG421" s="368"/>
      <c r="AH421" s="368"/>
      <c r="AI421" s="368"/>
      <c r="AJ421" s="368"/>
      <c r="AK421" s="368"/>
      <c r="AL421" s="368"/>
      <c r="AM421" s="368"/>
    </row>
    <row r="422" spans="1:39" s="90" customFormat="1" ht="18" customHeight="1" x14ac:dyDescent="0.3">
      <c r="A422" s="432"/>
      <c r="B422" s="423"/>
      <c r="C422" s="12"/>
      <c r="D422" s="156"/>
      <c r="E422" s="31" t="s">
        <v>48</v>
      </c>
      <c r="F422" s="23" t="s">
        <v>49</v>
      </c>
      <c r="G422" s="374" t="s">
        <v>521</v>
      </c>
      <c r="H422" s="133">
        <v>12</v>
      </c>
      <c r="I422" s="156"/>
      <c r="J422" s="133"/>
      <c r="K422" s="330"/>
      <c r="L422" s="330"/>
      <c r="M422" s="24"/>
      <c r="N422" s="330"/>
      <c r="O422" s="368"/>
      <c r="P422" s="368"/>
      <c r="Q422" s="368"/>
      <c r="R422" s="368"/>
      <c r="S422" s="368"/>
      <c r="T422" s="368"/>
      <c r="U422" s="368"/>
      <c r="V422" s="368"/>
      <c r="W422" s="368"/>
      <c r="X422" s="368"/>
      <c r="Y422" s="368"/>
      <c r="Z422" s="368"/>
      <c r="AA422" s="368"/>
      <c r="AB422" s="368"/>
      <c r="AC422" s="368"/>
      <c r="AD422" s="368"/>
      <c r="AE422" s="368"/>
      <c r="AF422" s="368"/>
      <c r="AG422" s="368"/>
      <c r="AH422" s="368"/>
      <c r="AI422" s="368"/>
      <c r="AJ422" s="368"/>
      <c r="AK422" s="368"/>
      <c r="AL422" s="368"/>
      <c r="AM422" s="368"/>
    </row>
    <row r="423" spans="1:39" s="90" customFormat="1" ht="18" customHeight="1" x14ac:dyDescent="0.3">
      <c r="A423" s="431">
        <v>207</v>
      </c>
      <c r="B423" s="422" t="s">
        <v>785</v>
      </c>
      <c r="C423" s="12" t="s">
        <v>579</v>
      </c>
      <c r="D423" s="156" t="s">
        <v>516</v>
      </c>
      <c r="E423" s="31" t="s">
        <v>364</v>
      </c>
      <c r="F423" s="23" t="s">
        <v>49</v>
      </c>
      <c r="G423" s="374"/>
      <c r="H423" s="133"/>
      <c r="I423" s="156"/>
      <c r="J423" s="133"/>
      <c r="K423" s="330"/>
      <c r="L423" s="330"/>
      <c r="M423" s="24"/>
      <c r="N423" s="330"/>
      <c r="O423" s="368"/>
      <c r="P423" s="368"/>
      <c r="Q423" s="368"/>
      <c r="R423" s="368"/>
      <c r="S423" s="368"/>
      <c r="T423" s="368"/>
      <c r="U423" s="368"/>
      <c r="V423" s="368"/>
      <c r="W423" s="368"/>
      <c r="X423" s="368"/>
      <c r="Y423" s="368"/>
      <c r="Z423" s="368"/>
      <c r="AA423" s="368"/>
      <c r="AB423" s="368"/>
      <c r="AC423" s="368"/>
      <c r="AD423" s="368"/>
      <c r="AE423" s="368"/>
      <c r="AF423" s="368"/>
      <c r="AG423" s="368"/>
      <c r="AH423" s="368"/>
      <c r="AI423" s="368"/>
      <c r="AJ423" s="368"/>
      <c r="AK423" s="368"/>
      <c r="AL423" s="368"/>
      <c r="AM423" s="368"/>
    </row>
    <row r="424" spans="1:39" s="90" customFormat="1" ht="18" customHeight="1" x14ac:dyDescent="0.3">
      <c r="A424" s="432"/>
      <c r="B424" s="423"/>
      <c r="C424" s="12"/>
      <c r="D424" s="156"/>
      <c r="E424" s="31" t="s">
        <v>48</v>
      </c>
      <c r="F424" s="23" t="s">
        <v>49</v>
      </c>
      <c r="G424" s="374" t="s">
        <v>521</v>
      </c>
      <c r="H424" s="133">
        <v>12</v>
      </c>
      <c r="I424" s="156"/>
      <c r="J424" s="133"/>
      <c r="K424" s="330"/>
      <c r="L424" s="330"/>
      <c r="M424" s="24"/>
      <c r="N424" s="330"/>
      <c r="O424" s="368"/>
      <c r="P424" s="368"/>
      <c r="Q424" s="368"/>
      <c r="R424" s="368"/>
      <c r="S424" s="368"/>
      <c r="T424" s="368"/>
      <c r="U424" s="368"/>
      <c r="V424" s="368"/>
      <c r="W424" s="368"/>
      <c r="X424" s="368"/>
      <c r="Y424" s="368"/>
      <c r="Z424" s="368"/>
      <c r="AA424" s="368"/>
      <c r="AB424" s="368"/>
      <c r="AC424" s="368"/>
      <c r="AD424" s="368"/>
      <c r="AE424" s="368"/>
      <c r="AF424" s="368"/>
      <c r="AG424" s="368"/>
      <c r="AH424" s="368"/>
      <c r="AI424" s="368"/>
      <c r="AJ424" s="368"/>
      <c r="AK424" s="368"/>
      <c r="AL424" s="368"/>
      <c r="AM424" s="368"/>
    </row>
    <row r="425" spans="1:39" s="90" customFormat="1" ht="18" customHeight="1" x14ac:dyDescent="0.3">
      <c r="A425" s="431">
        <v>208</v>
      </c>
      <c r="B425" s="422" t="s">
        <v>786</v>
      </c>
      <c r="C425" s="12" t="s">
        <v>579</v>
      </c>
      <c r="D425" s="156" t="s">
        <v>516</v>
      </c>
      <c r="E425" s="31" t="s">
        <v>364</v>
      </c>
      <c r="F425" s="23" t="s">
        <v>49</v>
      </c>
      <c r="G425" s="374"/>
      <c r="H425" s="133"/>
      <c r="I425" s="156"/>
      <c r="J425" s="133"/>
      <c r="K425" s="330"/>
      <c r="L425" s="330"/>
      <c r="M425" s="24"/>
      <c r="N425" s="330"/>
      <c r="O425" s="368"/>
      <c r="P425" s="368"/>
      <c r="Q425" s="368"/>
      <c r="R425" s="368"/>
      <c r="S425" s="368"/>
      <c r="T425" s="368"/>
      <c r="U425" s="368"/>
      <c r="V425" s="368"/>
      <c r="W425" s="368"/>
      <c r="X425" s="368"/>
      <c r="Y425" s="368"/>
      <c r="Z425" s="368"/>
      <c r="AA425" s="368"/>
      <c r="AB425" s="368"/>
      <c r="AC425" s="368"/>
      <c r="AD425" s="368"/>
      <c r="AE425" s="368"/>
      <c r="AF425" s="368"/>
      <c r="AG425" s="368"/>
      <c r="AH425" s="368"/>
      <c r="AI425" s="368"/>
      <c r="AJ425" s="368"/>
      <c r="AK425" s="368"/>
      <c r="AL425" s="368"/>
      <c r="AM425" s="368"/>
    </row>
    <row r="426" spans="1:39" s="90" customFormat="1" ht="18" customHeight="1" x14ac:dyDescent="0.3">
      <c r="A426" s="432"/>
      <c r="B426" s="423"/>
      <c r="C426" s="12"/>
      <c r="D426" s="156"/>
      <c r="E426" s="31" t="s">
        <v>48</v>
      </c>
      <c r="F426" s="23" t="s">
        <v>49</v>
      </c>
      <c r="G426" s="374" t="s">
        <v>521</v>
      </c>
      <c r="H426" s="133">
        <v>19</v>
      </c>
      <c r="I426" s="156"/>
      <c r="J426" s="133"/>
      <c r="K426" s="330"/>
      <c r="L426" s="330"/>
      <c r="M426" s="24"/>
      <c r="N426" s="330"/>
      <c r="O426" s="368"/>
      <c r="P426" s="368"/>
      <c r="Q426" s="368"/>
      <c r="R426" s="368"/>
      <c r="S426" s="368"/>
      <c r="T426" s="368"/>
      <c r="U426" s="368"/>
      <c r="V426" s="368"/>
      <c r="W426" s="368"/>
      <c r="X426" s="368"/>
      <c r="Y426" s="368"/>
      <c r="Z426" s="368"/>
      <c r="AA426" s="368"/>
      <c r="AB426" s="368"/>
      <c r="AC426" s="368"/>
      <c r="AD426" s="368"/>
      <c r="AE426" s="368"/>
      <c r="AF426" s="368"/>
      <c r="AG426" s="368"/>
      <c r="AH426" s="368"/>
      <c r="AI426" s="368"/>
      <c r="AJ426" s="368"/>
      <c r="AK426" s="368"/>
      <c r="AL426" s="368"/>
      <c r="AM426" s="368"/>
    </row>
    <row r="427" spans="1:39" s="90" customFormat="1" ht="18" customHeight="1" x14ac:dyDescent="0.3">
      <c r="A427" s="431">
        <v>209</v>
      </c>
      <c r="B427" s="422" t="s">
        <v>787</v>
      </c>
      <c r="C427" s="12" t="s">
        <v>579</v>
      </c>
      <c r="D427" s="156" t="s">
        <v>516</v>
      </c>
      <c r="E427" s="31" t="s">
        <v>364</v>
      </c>
      <c r="F427" s="23" t="s">
        <v>49</v>
      </c>
      <c r="G427" s="374"/>
      <c r="H427" s="133"/>
      <c r="I427" s="156"/>
      <c r="J427" s="133"/>
      <c r="K427" s="330"/>
      <c r="L427" s="330"/>
      <c r="M427" s="24"/>
      <c r="N427" s="330"/>
      <c r="O427" s="368"/>
      <c r="P427" s="368"/>
      <c r="Q427" s="368"/>
      <c r="R427" s="368"/>
      <c r="S427" s="368"/>
      <c r="T427" s="368"/>
      <c r="U427" s="368"/>
      <c r="V427" s="368"/>
      <c r="W427" s="368"/>
      <c r="X427" s="368"/>
      <c r="Y427" s="368"/>
      <c r="Z427" s="368"/>
      <c r="AA427" s="368"/>
      <c r="AB427" s="368"/>
      <c r="AC427" s="368"/>
      <c r="AD427" s="368"/>
      <c r="AE427" s="368"/>
      <c r="AF427" s="368"/>
      <c r="AG427" s="368"/>
      <c r="AH427" s="368"/>
      <c r="AI427" s="368"/>
      <c r="AJ427" s="368"/>
      <c r="AK427" s="368"/>
      <c r="AL427" s="368"/>
      <c r="AM427" s="368"/>
    </row>
    <row r="428" spans="1:39" s="90" customFormat="1" ht="18" customHeight="1" x14ac:dyDescent="0.3">
      <c r="A428" s="432"/>
      <c r="B428" s="423"/>
      <c r="C428" s="12"/>
      <c r="D428" s="156"/>
      <c r="E428" s="31" t="s">
        <v>48</v>
      </c>
      <c r="F428" s="23" t="s">
        <v>49</v>
      </c>
      <c r="G428" s="374" t="s">
        <v>521</v>
      </c>
      <c r="H428" s="133">
        <v>11</v>
      </c>
      <c r="I428" s="156"/>
      <c r="J428" s="133"/>
      <c r="K428" s="330"/>
      <c r="L428" s="330"/>
      <c r="M428" s="24"/>
      <c r="N428" s="330"/>
      <c r="O428" s="368"/>
      <c r="P428" s="368"/>
      <c r="Q428" s="368"/>
      <c r="R428" s="368"/>
      <c r="S428" s="368"/>
      <c r="T428" s="368"/>
      <c r="U428" s="368"/>
      <c r="V428" s="368"/>
      <c r="W428" s="368"/>
      <c r="X428" s="368"/>
      <c r="Y428" s="368"/>
      <c r="Z428" s="368"/>
      <c r="AA428" s="368"/>
      <c r="AB428" s="368"/>
      <c r="AC428" s="368"/>
      <c r="AD428" s="368"/>
      <c r="AE428" s="368"/>
      <c r="AF428" s="368"/>
      <c r="AG428" s="368"/>
      <c r="AH428" s="368"/>
      <c r="AI428" s="368"/>
      <c r="AJ428" s="368"/>
      <c r="AK428" s="368"/>
      <c r="AL428" s="368"/>
      <c r="AM428" s="368"/>
    </row>
    <row r="429" spans="1:39" s="90" customFormat="1" ht="18" customHeight="1" x14ac:dyDescent="0.3">
      <c r="A429" s="431">
        <v>210</v>
      </c>
      <c r="B429" s="422" t="s">
        <v>788</v>
      </c>
      <c r="C429" s="12" t="s">
        <v>579</v>
      </c>
      <c r="D429" s="156" t="s">
        <v>516</v>
      </c>
      <c r="E429" s="31" t="s">
        <v>364</v>
      </c>
      <c r="F429" s="23" t="s">
        <v>49</v>
      </c>
      <c r="G429" s="374"/>
      <c r="H429" s="133"/>
      <c r="I429" s="156"/>
      <c r="J429" s="133"/>
      <c r="K429" s="330"/>
      <c r="L429" s="330"/>
      <c r="M429" s="24"/>
      <c r="N429" s="330"/>
      <c r="O429" s="368"/>
      <c r="P429" s="368"/>
      <c r="Q429" s="368"/>
      <c r="R429" s="368"/>
      <c r="S429" s="368"/>
      <c r="T429" s="368"/>
      <c r="U429" s="368"/>
      <c r="V429" s="368"/>
      <c r="W429" s="368"/>
      <c r="X429" s="368"/>
      <c r="Y429" s="368"/>
      <c r="Z429" s="368"/>
      <c r="AA429" s="368"/>
      <c r="AB429" s="368"/>
      <c r="AC429" s="368"/>
      <c r="AD429" s="368"/>
      <c r="AE429" s="368"/>
      <c r="AF429" s="368"/>
      <c r="AG429" s="368"/>
      <c r="AH429" s="368"/>
      <c r="AI429" s="368"/>
      <c r="AJ429" s="368"/>
      <c r="AK429" s="368"/>
      <c r="AL429" s="368"/>
      <c r="AM429" s="368"/>
    </row>
    <row r="430" spans="1:39" s="90" customFormat="1" ht="18" customHeight="1" x14ac:dyDescent="0.3">
      <c r="A430" s="432"/>
      <c r="B430" s="423"/>
      <c r="C430" s="12"/>
      <c r="D430" s="156"/>
      <c r="E430" s="31" t="s">
        <v>48</v>
      </c>
      <c r="F430" s="23" t="s">
        <v>49</v>
      </c>
      <c r="G430" s="374" t="s">
        <v>521</v>
      </c>
      <c r="H430" s="133">
        <v>10</v>
      </c>
      <c r="I430" s="156" t="s">
        <v>525</v>
      </c>
      <c r="J430" s="133">
        <v>1</v>
      </c>
      <c r="K430" s="330"/>
      <c r="L430" s="330"/>
      <c r="M430" s="24"/>
      <c r="N430" s="330"/>
      <c r="O430" s="368"/>
      <c r="P430" s="368"/>
      <c r="Q430" s="368"/>
      <c r="R430" s="368"/>
      <c r="S430" s="368"/>
      <c r="T430" s="368"/>
      <c r="U430" s="368"/>
      <c r="V430" s="368"/>
      <c r="W430" s="368"/>
      <c r="X430" s="368"/>
      <c r="Y430" s="368"/>
      <c r="Z430" s="368"/>
      <c r="AA430" s="368"/>
      <c r="AB430" s="368"/>
      <c r="AC430" s="368"/>
      <c r="AD430" s="368"/>
      <c r="AE430" s="368"/>
      <c r="AF430" s="368"/>
      <c r="AG430" s="368"/>
      <c r="AH430" s="368"/>
      <c r="AI430" s="368"/>
      <c r="AJ430" s="368"/>
      <c r="AK430" s="368"/>
      <c r="AL430" s="368"/>
      <c r="AM430" s="368"/>
    </row>
    <row r="431" spans="1:39" s="90" customFormat="1" ht="18" customHeight="1" x14ac:dyDescent="0.3">
      <c r="A431" s="431">
        <v>211</v>
      </c>
      <c r="B431" s="422" t="s">
        <v>789</v>
      </c>
      <c r="C431" s="12" t="s">
        <v>579</v>
      </c>
      <c r="D431" s="156" t="s">
        <v>516</v>
      </c>
      <c r="E431" s="31" t="s">
        <v>364</v>
      </c>
      <c r="F431" s="23" t="s">
        <v>49</v>
      </c>
      <c r="G431" s="374"/>
      <c r="H431" s="133"/>
      <c r="I431" s="156"/>
      <c r="J431" s="133"/>
      <c r="K431" s="330"/>
      <c r="L431" s="330"/>
      <c r="M431" s="24"/>
      <c r="N431" s="330"/>
      <c r="O431" s="368"/>
      <c r="P431" s="368"/>
      <c r="Q431" s="368"/>
      <c r="R431" s="368"/>
      <c r="S431" s="368"/>
      <c r="T431" s="368"/>
      <c r="U431" s="368"/>
      <c r="V431" s="368"/>
      <c r="W431" s="368"/>
      <c r="X431" s="368"/>
      <c r="Y431" s="368"/>
      <c r="Z431" s="368"/>
      <c r="AA431" s="368"/>
      <c r="AB431" s="368"/>
      <c r="AC431" s="368"/>
      <c r="AD431" s="368"/>
      <c r="AE431" s="368"/>
      <c r="AF431" s="368"/>
      <c r="AG431" s="368"/>
      <c r="AH431" s="368"/>
      <c r="AI431" s="368"/>
      <c r="AJ431" s="368"/>
      <c r="AK431" s="368"/>
      <c r="AL431" s="368"/>
      <c r="AM431" s="368"/>
    </row>
    <row r="432" spans="1:39" s="90" customFormat="1" ht="18" customHeight="1" x14ac:dyDescent="0.3">
      <c r="A432" s="432"/>
      <c r="B432" s="423"/>
      <c r="C432" s="12"/>
      <c r="D432" s="156"/>
      <c r="E432" s="31" t="s">
        <v>48</v>
      </c>
      <c r="F432" s="23" t="s">
        <v>49</v>
      </c>
      <c r="G432" s="374" t="s">
        <v>521</v>
      </c>
      <c r="H432" s="133">
        <v>18</v>
      </c>
      <c r="I432" s="156" t="s">
        <v>525</v>
      </c>
      <c r="J432" s="133">
        <v>2</v>
      </c>
      <c r="K432" s="330"/>
      <c r="L432" s="330"/>
      <c r="M432" s="24"/>
      <c r="N432" s="330"/>
      <c r="O432" s="368"/>
      <c r="P432" s="368"/>
      <c r="Q432" s="368"/>
      <c r="R432" s="368"/>
      <c r="S432" s="368"/>
      <c r="T432" s="368"/>
      <c r="U432" s="368"/>
      <c r="V432" s="368"/>
      <c r="W432" s="368"/>
      <c r="X432" s="368"/>
      <c r="Y432" s="368"/>
      <c r="Z432" s="368"/>
      <c r="AA432" s="368"/>
      <c r="AB432" s="368"/>
      <c r="AC432" s="368"/>
      <c r="AD432" s="368"/>
      <c r="AE432" s="368"/>
      <c r="AF432" s="368"/>
      <c r="AG432" s="368"/>
      <c r="AH432" s="368"/>
      <c r="AI432" s="368"/>
      <c r="AJ432" s="368"/>
      <c r="AK432" s="368"/>
      <c r="AL432" s="368"/>
      <c r="AM432" s="368"/>
    </row>
    <row r="433" spans="1:39" s="90" customFormat="1" ht="18" customHeight="1" x14ac:dyDescent="0.3">
      <c r="A433" s="431">
        <v>212</v>
      </c>
      <c r="B433" s="422" t="s">
        <v>790</v>
      </c>
      <c r="C433" s="12" t="s">
        <v>579</v>
      </c>
      <c r="D433" s="156" t="s">
        <v>516</v>
      </c>
      <c r="E433" s="31" t="s">
        <v>364</v>
      </c>
      <c r="F433" s="23" t="s">
        <v>49</v>
      </c>
      <c r="G433" s="374"/>
      <c r="H433" s="133"/>
      <c r="I433" s="156"/>
      <c r="J433" s="133"/>
      <c r="K433" s="330"/>
      <c r="L433" s="330"/>
      <c r="M433" s="24"/>
      <c r="N433" s="330"/>
      <c r="O433" s="368"/>
      <c r="P433" s="368"/>
      <c r="Q433" s="368"/>
      <c r="R433" s="368"/>
      <c r="S433" s="368"/>
      <c r="T433" s="368"/>
      <c r="U433" s="368"/>
      <c r="V433" s="368"/>
      <c r="W433" s="368"/>
      <c r="X433" s="368"/>
      <c r="Y433" s="368"/>
      <c r="Z433" s="368"/>
      <c r="AA433" s="368"/>
      <c r="AB433" s="368"/>
      <c r="AC433" s="368"/>
      <c r="AD433" s="368"/>
      <c r="AE433" s="368"/>
      <c r="AF433" s="368"/>
      <c r="AG433" s="368"/>
      <c r="AH433" s="368"/>
      <c r="AI433" s="368"/>
      <c r="AJ433" s="368"/>
      <c r="AK433" s="368"/>
      <c r="AL433" s="368"/>
      <c r="AM433" s="368"/>
    </row>
    <row r="434" spans="1:39" s="90" customFormat="1" ht="18" customHeight="1" x14ac:dyDescent="0.3">
      <c r="A434" s="432"/>
      <c r="B434" s="423"/>
      <c r="C434" s="12"/>
      <c r="D434" s="156"/>
      <c r="E434" s="31" t="s">
        <v>48</v>
      </c>
      <c r="F434" s="23" t="s">
        <v>49</v>
      </c>
      <c r="G434" s="374" t="s">
        <v>521</v>
      </c>
      <c r="H434" s="133">
        <v>20</v>
      </c>
      <c r="I434" s="156" t="s">
        <v>525</v>
      </c>
      <c r="J434" s="133">
        <v>1</v>
      </c>
      <c r="K434" s="330"/>
      <c r="L434" s="330"/>
      <c r="M434" s="24"/>
      <c r="N434" s="330"/>
      <c r="O434" s="368"/>
      <c r="P434" s="368"/>
      <c r="Q434" s="368"/>
      <c r="R434" s="368"/>
      <c r="S434" s="368"/>
      <c r="T434" s="368"/>
      <c r="U434" s="368"/>
      <c r="V434" s="368"/>
      <c r="W434" s="368"/>
      <c r="X434" s="368"/>
      <c r="Y434" s="368"/>
      <c r="Z434" s="368"/>
      <c r="AA434" s="368"/>
      <c r="AB434" s="368"/>
      <c r="AC434" s="368"/>
      <c r="AD434" s="368"/>
      <c r="AE434" s="368"/>
      <c r="AF434" s="368"/>
      <c r="AG434" s="368"/>
      <c r="AH434" s="368"/>
      <c r="AI434" s="368"/>
      <c r="AJ434" s="368"/>
      <c r="AK434" s="368"/>
      <c r="AL434" s="368"/>
      <c r="AM434" s="368"/>
    </row>
    <row r="435" spans="1:39" s="90" customFormat="1" ht="18" customHeight="1" x14ac:dyDescent="0.3">
      <c r="A435" s="431">
        <v>213</v>
      </c>
      <c r="B435" s="422" t="s">
        <v>791</v>
      </c>
      <c r="C435" s="12" t="s">
        <v>579</v>
      </c>
      <c r="D435" s="156" t="s">
        <v>516</v>
      </c>
      <c r="E435" s="31" t="s">
        <v>364</v>
      </c>
      <c r="F435" s="23" t="s">
        <v>49</v>
      </c>
      <c r="G435" s="374"/>
      <c r="H435" s="133"/>
      <c r="I435" s="156"/>
      <c r="J435" s="133"/>
      <c r="K435" s="330"/>
      <c r="L435" s="330"/>
      <c r="M435" s="24"/>
      <c r="N435" s="330"/>
      <c r="O435" s="368"/>
      <c r="P435" s="368"/>
      <c r="Q435" s="368"/>
      <c r="R435" s="368"/>
      <c r="S435" s="368"/>
      <c r="T435" s="368"/>
      <c r="U435" s="368"/>
      <c r="V435" s="368"/>
      <c r="W435" s="368"/>
      <c r="X435" s="368"/>
      <c r="Y435" s="368"/>
      <c r="Z435" s="368"/>
      <c r="AA435" s="368"/>
      <c r="AB435" s="368"/>
      <c r="AC435" s="368"/>
      <c r="AD435" s="368"/>
      <c r="AE435" s="368"/>
      <c r="AF435" s="368"/>
      <c r="AG435" s="368"/>
      <c r="AH435" s="368"/>
      <c r="AI435" s="368"/>
      <c r="AJ435" s="368"/>
      <c r="AK435" s="368"/>
      <c r="AL435" s="368"/>
      <c r="AM435" s="368"/>
    </row>
    <row r="436" spans="1:39" s="90" customFormat="1" ht="18" customHeight="1" x14ac:dyDescent="0.3">
      <c r="A436" s="432"/>
      <c r="B436" s="423"/>
      <c r="C436" s="12"/>
      <c r="D436" s="156"/>
      <c r="E436" s="31" t="s">
        <v>48</v>
      </c>
      <c r="F436" s="23" t="s">
        <v>49</v>
      </c>
      <c r="G436" s="374" t="s">
        <v>521</v>
      </c>
      <c r="H436" s="133">
        <v>10</v>
      </c>
      <c r="I436" s="156" t="s">
        <v>525</v>
      </c>
      <c r="J436" s="133">
        <v>2</v>
      </c>
      <c r="K436" s="330"/>
      <c r="L436" s="330"/>
      <c r="M436" s="24"/>
      <c r="N436" s="330"/>
      <c r="O436" s="368"/>
      <c r="P436" s="368"/>
      <c r="Q436" s="368"/>
      <c r="R436" s="368"/>
      <c r="S436" s="368"/>
      <c r="T436" s="368"/>
      <c r="U436" s="368"/>
      <c r="V436" s="368"/>
      <c r="W436" s="368"/>
      <c r="X436" s="368"/>
      <c r="Y436" s="368"/>
      <c r="Z436" s="368"/>
      <c r="AA436" s="368"/>
      <c r="AB436" s="368"/>
      <c r="AC436" s="368"/>
      <c r="AD436" s="368"/>
      <c r="AE436" s="368"/>
      <c r="AF436" s="368"/>
      <c r="AG436" s="368"/>
      <c r="AH436" s="368"/>
      <c r="AI436" s="368"/>
      <c r="AJ436" s="368"/>
      <c r="AK436" s="368"/>
      <c r="AL436" s="368"/>
      <c r="AM436" s="368"/>
    </row>
    <row r="437" spans="1:39" s="90" customFormat="1" ht="18" customHeight="1" x14ac:dyDescent="0.3">
      <c r="A437" s="431">
        <v>214</v>
      </c>
      <c r="B437" s="422" t="s">
        <v>792</v>
      </c>
      <c r="C437" s="12" t="s">
        <v>579</v>
      </c>
      <c r="D437" s="156" t="s">
        <v>516</v>
      </c>
      <c r="E437" s="31" t="s">
        <v>364</v>
      </c>
      <c r="F437" s="23" t="s">
        <v>49</v>
      </c>
      <c r="G437" s="374"/>
      <c r="H437" s="133"/>
      <c r="I437" s="156"/>
      <c r="J437" s="133"/>
      <c r="K437" s="330"/>
      <c r="L437" s="330"/>
      <c r="M437" s="24"/>
      <c r="N437" s="330"/>
      <c r="O437" s="368"/>
      <c r="P437" s="368"/>
      <c r="Q437" s="368"/>
      <c r="R437" s="368"/>
      <c r="S437" s="368"/>
      <c r="T437" s="368"/>
      <c r="U437" s="368"/>
      <c r="V437" s="368"/>
      <c r="W437" s="368"/>
      <c r="X437" s="368"/>
      <c r="Y437" s="368"/>
      <c r="Z437" s="368"/>
      <c r="AA437" s="368"/>
      <c r="AB437" s="368"/>
      <c r="AC437" s="368"/>
      <c r="AD437" s="368"/>
      <c r="AE437" s="368"/>
      <c r="AF437" s="368"/>
      <c r="AG437" s="368"/>
      <c r="AH437" s="368"/>
      <c r="AI437" s="368"/>
      <c r="AJ437" s="368"/>
      <c r="AK437" s="368"/>
      <c r="AL437" s="368"/>
      <c r="AM437" s="368"/>
    </row>
    <row r="438" spans="1:39" s="90" customFormat="1" ht="18" customHeight="1" x14ac:dyDescent="0.3">
      <c r="A438" s="432"/>
      <c r="B438" s="423"/>
      <c r="C438" s="12"/>
      <c r="D438" s="156"/>
      <c r="E438" s="31" t="s">
        <v>48</v>
      </c>
      <c r="F438" s="23" t="s">
        <v>49</v>
      </c>
      <c r="G438" s="374" t="s">
        <v>521</v>
      </c>
      <c r="H438" s="133">
        <v>10</v>
      </c>
      <c r="I438" s="156" t="s">
        <v>525</v>
      </c>
      <c r="J438" s="133">
        <v>2</v>
      </c>
      <c r="K438" s="330"/>
      <c r="L438" s="330"/>
      <c r="M438" s="24"/>
      <c r="N438" s="330"/>
      <c r="O438" s="368"/>
      <c r="P438" s="368"/>
      <c r="Q438" s="368"/>
      <c r="R438" s="368"/>
      <c r="S438" s="368"/>
      <c r="T438" s="368"/>
      <c r="U438" s="368"/>
      <c r="V438" s="368"/>
      <c r="W438" s="368"/>
      <c r="X438" s="368"/>
      <c r="Y438" s="368"/>
      <c r="Z438" s="368"/>
      <c r="AA438" s="368"/>
      <c r="AB438" s="368"/>
      <c r="AC438" s="368"/>
      <c r="AD438" s="368"/>
      <c r="AE438" s="368"/>
      <c r="AF438" s="368"/>
      <c r="AG438" s="368"/>
      <c r="AH438" s="368"/>
      <c r="AI438" s="368"/>
      <c r="AJ438" s="368"/>
      <c r="AK438" s="368"/>
      <c r="AL438" s="368"/>
      <c r="AM438" s="368"/>
    </row>
    <row r="439" spans="1:39" s="90" customFormat="1" ht="18" customHeight="1" x14ac:dyDescent="0.3">
      <c r="A439" s="431">
        <v>215</v>
      </c>
      <c r="B439" s="422" t="s">
        <v>793</v>
      </c>
      <c r="C439" s="12" t="s">
        <v>579</v>
      </c>
      <c r="D439" s="156" t="s">
        <v>516</v>
      </c>
      <c r="E439" s="31" t="s">
        <v>364</v>
      </c>
      <c r="F439" s="23" t="s">
        <v>49</v>
      </c>
      <c r="G439" s="374"/>
      <c r="H439" s="133"/>
      <c r="I439" s="156"/>
      <c r="J439" s="133"/>
      <c r="K439" s="330"/>
      <c r="L439" s="330"/>
      <c r="M439" s="24"/>
      <c r="N439" s="330"/>
      <c r="O439" s="368"/>
      <c r="P439" s="368"/>
      <c r="Q439" s="368"/>
      <c r="R439" s="368"/>
      <c r="S439" s="368"/>
      <c r="T439" s="368"/>
      <c r="U439" s="368"/>
      <c r="V439" s="368"/>
      <c r="W439" s="368"/>
      <c r="X439" s="368"/>
      <c r="Y439" s="368"/>
      <c r="Z439" s="368"/>
      <c r="AA439" s="368"/>
      <c r="AB439" s="368"/>
      <c r="AC439" s="368"/>
      <c r="AD439" s="368"/>
      <c r="AE439" s="368"/>
      <c r="AF439" s="368"/>
      <c r="AG439" s="368"/>
      <c r="AH439" s="368"/>
      <c r="AI439" s="368"/>
      <c r="AJ439" s="368"/>
      <c r="AK439" s="368"/>
      <c r="AL439" s="368"/>
      <c r="AM439" s="368"/>
    </row>
    <row r="440" spans="1:39" s="90" customFormat="1" ht="18" customHeight="1" x14ac:dyDescent="0.3">
      <c r="A440" s="432"/>
      <c r="B440" s="423"/>
      <c r="C440" s="12"/>
      <c r="D440" s="156"/>
      <c r="E440" s="31" t="s">
        <v>48</v>
      </c>
      <c r="F440" s="23" t="s">
        <v>49</v>
      </c>
      <c r="G440" s="374" t="s">
        <v>521</v>
      </c>
      <c r="H440" s="133">
        <v>10</v>
      </c>
      <c r="I440" s="156" t="s">
        <v>525</v>
      </c>
      <c r="J440" s="133">
        <v>1</v>
      </c>
      <c r="K440" s="330"/>
      <c r="L440" s="330"/>
      <c r="M440" s="24"/>
      <c r="N440" s="330"/>
      <c r="O440" s="368"/>
      <c r="P440" s="368"/>
      <c r="Q440" s="368"/>
      <c r="R440" s="368"/>
      <c r="S440" s="368"/>
      <c r="T440" s="368"/>
      <c r="U440" s="368"/>
      <c r="V440" s="368"/>
      <c r="W440" s="368"/>
      <c r="X440" s="368"/>
      <c r="Y440" s="368"/>
      <c r="Z440" s="368"/>
      <c r="AA440" s="368"/>
      <c r="AB440" s="368"/>
      <c r="AC440" s="368"/>
      <c r="AD440" s="368"/>
      <c r="AE440" s="368"/>
      <c r="AF440" s="368"/>
      <c r="AG440" s="368"/>
      <c r="AH440" s="368"/>
      <c r="AI440" s="368"/>
      <c r="AJ440" s="368"/>
      <c r="AK440" s="368"/>
      <c r="AL440" s="368"/>
      <c r="AM440" s="368"/>
    </row>
    <row r="441" spans="1:39" s="90" customFormat="1" ht="18" customHeight="1" x14ac:dyDescent="0.3">
      <c r="A441" s="431">
        <v>216</v>
      </c>
      <c r="B441" s="422" t="s">
        <v>794</v>
      </c>
      <c r="C441" s="12" t="s">
        <v>579</v>
      </c>
      <c r="D441" s="156" t="s">
        <v>516</v>
      </c>
      <c r="E441" s="31" t="s">
        <v>364</v>
      </c>
      <c r="F441" s="23" t="s">
        <v>49</v>
      </c>
      <c r="G441" s="374"/>
      <c r="H441" s="133"/>
      <c r="I441" s="156"/>
      <c r="J441" s="133"/>
      <c r="K441" s="330"/>
      <c r="L441" s="330"/>
      <c r="M441" s="24"/>
      <c r="N441" s="330"/>
      <c r="O441" s="368"/>
      <c r="P441" s="368"/>
      <c r="Q441" s="368"/>
      <c r="R441" s="368"/>
      <c r="S441" s="368"/>
      <c r="T441" s="368"/>
      <c r="U441" s="368"/>
      <c r="V441" s="368"/>
      <c r="W441" s="368"/>
      <c r="X441" s="368"/>
      <c r="Y441" s="368"/>
      <c r="Z441" s="368"/>
      <c r="AA441" s="368"/>
      <c r="AB441" s="368"/>
      <c r="AC441" s="368"/>
      <c r="AD441" s="368"/>
      <c r="AE441" s="368"/>
      <c r="AF441" s="368"/>
      <c r="AG441" s="368"/>
      <c r="AH441" s="368"/>
      <c r="AI441" s="368"/>
      <c r="AJ441" s="368"/>
      <c r="AK441" s="368"/>
      <c r="AL441" s="368"/>
      <c r="AM441" s="368"/>
    </row>
    <row r="442" spans="1:39" s="90" customFormat="1" ht="18" customHeight="1" x14ac:dyDescent="0.3">
      <c r="A442" s="432"/>
      <c r="B442" s="423"/>
      <c r="C442" s="12"/>
      <c r="D442" s="156"/>
      <c r="E442" s="31" t="s">
        <v>48</v>
      </c>
      <c r="F442" s="23" t="s">
        <v>49</v>
      </c>
      <c r="G442" s="374" t="s">
        <v>521</v>
      </c>
      <c r="H442" s="133">
        <v>10</v>
      </c>
      <c r="I442" s="156" t="s">
        <v>525</v>
      </c>
      <c r="J442" s="133">
        <v>1</v>
      </c>
      <c r="K442" s="330"/>
      <c r="L442" s="330"/>
      <c r="M442" s="24"/>
      <c r="N442" s="330"/>
      <c r="O442" s="368"/>
      <c r="P442" s="368"/>
      <c r="Q442" s="368"/>
      <c r="R442" s="368"/>
      <c r="S442" s="368"/>
      <c r="T442" s="368"/>
      <c r="U442" s="368"/>
      <c r="V442" s="368"/>
      <c r="W442" s="368"/>
      <c r="X442" s="368"/>
      <c r="Y442" s="368"/>
      <c r="Z442" s="368"/>
      <c r="AA442" s="368"/>
      <c r="AB442" s="368"/>
      <c r="AC442" s="368"/>
      <c r="AD442" s="368"/>
      <c r="AE442" s="368"/>
      <c r="AF442" s="368"/>
      <c r="AG442" s="368"/>
      <c r="AH442" s="368"/>
      <c r="AI442" s="368"/>
      <c r="AJ442" s="368"/>
      <c r="AK442" s="368"/>
      <c r="AL442" s="368"/>
      <c r="AM442" s="368"/>
    </row>
    <row r="443" spans="1:39" s="90" customFormat="1" ht="18" customHeight="1" x14ac:dyDescent="0.3">
      <c r="A443" s="431">
        <v>217</v>
      </c>
      <c r="B443" s="422" t="s">
        <v>795</v>
      </c>
      <c r="C443" s="12" t="s">
        <v>579</v>
      </c>
      <c r="D443" s="156" t="s">
        <v>516</v>
      </c>
      <c r="E443" s="31" t="s">
        <v>364</v>
      </c>
      <c r="F443" s="23" t="s">
        <v>49</v>
      </c>
      <c r="G443" s="374"/>
      <c r="H443" s="133"/>
      <c r="I443" s="156"/>
      <c r="J443" s="133"/>
      <c r="K443" s="330"/>
      <c r="L443" s="330"/>
      <c r="M443" s="24"/>
      <c r="N443" s="330"/>
      <c r="O443" s="368"/>
      <c r="P443" s="368"/>
      <c r="Q443" s="368"/>
      <c r="R443" s="368"/>
      <c r="S443" s="368"/>
      <c r="T443" s="368"/>
      <c r="U443" s="368"/>
      <c r="V443" s="368"/>
      <c r="W443" s="368"/>
      <c r="X443" s="368"/>
      <c r="Y443" s="368"/>
      <c r="Z443" s="368"/>
      <c r="AA443" s="368"/>
      <c r="AB443" s="368"/>
      <c r="AC443" s="368"/>
      <c r="AD443" s="368"/>
      <c r="AE443" s="368"/>
      <c r="AF443" s="368"/>
      <c r="AG443" s="368"/>
      <c r="AH443" s="368"/>
      <c r="AI443" s="368"/>
      <c r="AJ443" s="368"/>
      <c r="AK443" s="368"/>
      <c r="AL443" s="368"/>
      <c r="AM443" s="368"/>
    </row>
    <row r="444" spans="1:39" s="90" customFormat="1" ht="18" customHeight="1" x14ac:dyDescent="0.3">
      <c r="A444" s="432"/>
      <c r="B444" s="423"/>
      <c r="C444" s="12"/>
      <c r="D444" s="156"/>
      <c r="E444" s="31" t="s">
        <v>48</v>
      </c>
      <c r="F444" s="23" t="s">
        <v>49</v>
      </c>
      <c r="G444" s="374" t="s">
        <v>521</v>
      </c>
      <c r="H444" s="133">
        <v>31</v>
      </c>
      <c r="I444" s="156" t="s">
        <v>525</v>
      </c>
      <c r="J444" s="133">
        <v>2</v>
      </c>
      <c r="K444" s="330"/>
      <c r="L444" s="330"/>
      <c r="M444" s="24"/>
      <c r="N444" s="330"/>
      <c r="O444" s="368"/>
      <c r="P444" s="368"/>
      <c r="Q444" s="368"/>
      <c r="R444" s="368"/>
      <c r="S444" s="368"/>
      <c r="T444" s="368"/>
      <c r="U444" s="368"/>
      <c r="V444" s="368"/>
      <c r="W444" s="368"/>
      <c r="X444" s="368"/>
      <c r="Y444" s="368"/>
      <c r="Z444" s="368"/>
      <c r="AA444" s="368"/>
      <c r="AB444" s="368"/>
      <c r="AC444" s="368"/>
      <c r="AD444" s="368"/>
      <c r="AE444" s="368"/>
      <c r="AF444" s="368"/>
      <c r="AG444" s="368"/>
      <c r="AH444" s="368"/>
      <c r="AI444" s="368"/>
      <c r="AJ444" s="368"/>
      <c r="AK444" s="368"/>
      <c r="AL444" s="368"/>
      <c r="AM444" s="368"/>
    </row>
    <row r="445" spans="1:39" s="90" customFormat="1" ht="18" customHeight="1" x14ac:dyDescent="0.3">
      <c r="A445" s="431">
        <v>218</v>
      </c>
      <c r="B445" s="422" t="s">
        <v>796</v>
      </c>
      <c r="C445" s="11" t="s">
        <v>512</v>
      </c>
      <c r="D445" s="156" t="s">
        <v>516</v>
      </c>
      <c r="E445" s="31" t="s">
        <v>364</v>
      </c>
      <c r="F445" s="23" t="s">
        <v>49</v>
      </c>
      <c r="G445" s="374"/>
      <c r="H445" s="133"/>
      <c r="I445" s="156"/>
      <c r="J445" s="133"/>
      <c r="K445" s="330"/>
      <c r="L445" s="330"/>
      <c r="M445" s="24"/>
      <c r="N445" s="330"/>
      <c r="O445" s="368"/>
      <c r="P445" s="368"/>
      <c r="Q445" s="368"/>
      <c r="R445" s="368"/>
      <c r="S445" s="368"/>
      <c r="T445" s="368"/>
      <c r="U445" s="368"/>
      <c r="V445" s="368"/>
      <c r="W445" s="368"/>
      <c r="X445" s="368"/>
      <c r="Y445" s="368"/>
      <c r="Z445" s="368"/>
      <c r="AA445" s="368"/>
      <c r="AB445" s="368"/>
      <c r="AC445" s="368"/>
      <c r="AD445" s="368"/>
      <c r="AE445" s="368"/>
      <c r="AF445" s="368"/>
      <c r="AG445" s="368"/>
      <c r="AH445" s="368"/>
      <c r="AI445" s="368"/>
      <c r="AJ445" s="368"/>
      <c r="AK445" s="368"/>
      <c r="AL445" s="368"/>
      <c r="AM445" s="368"/>
    </row>
    <row r="446" spans="1:39" s="90" customFormat="1" ht="18" customHeight="1" x14ac:dyDescent="0.3">
      <c r="A446" s="432"/>
      <c r="B446" s="423"/>
      <c r="C446" s="12"/>
      <c r="D446" s="156"/>
      <c r="E446" s="31" t="s">
        <v>48</v>
      </c>
      <c r="F446" s="23" t="s">
        <v>49</v>
      </c>
      <c r="G446" s="374" t="s">
        <v>521</v>
      </c>
      <c r="H446" s="133">
        <v>77</v>
      </c>
      <c r="I446" s="156" t="s">
        <v>525</v>
      </c>
      <c r="J446" s="133">
        <v>2</v>
      </c>
      <c r="K446" s="330" t="s">
        <v>218</v>
      </c>
      <c r="L446" s="330" t="s">
        <v>218</v>
      </c>
      <c r="M446" s="24">
        <v>18878</v>
      </c>
      <c r="N446" s="330">
        <v>19195</v>
      </c>
      <c r="O446" s="368">
        <v>2271</v>
      </c>
      <c r="P446" s="368" t="s">
        <v>515</v>
      </c>
      <c r="Q446" s="368">
        <v>1489</v>
      </c>
      <c r="R446" s="368" t="s">
        <v>515</v>
      </c>
      <c r="S446" s="368">
        <v>2004</v>
      </c>
      <c r="T446" s="368" t="s">
        <v>515</v>
      </c>
      <c r="U446" s="368">
        <v>1325</v>
      </c>
      <c r="V446" s="368" t="s">
        <v>515</v>
      </c>
      <c r="W446" s="368">
        <v>1278</v>
      </c>
      <c r="X446" s="368" t="s">
        <v>515</v>
      </c>
      <c r="Y446" s="368">
        <v>1329</v>
      </c>
      <c r="Z446" s="368" t="s">
        <v>515</v>
      </c>
      <c r="AA446" s="368">
        <v>1176</v>
      </c>
      <c r="AB446" s="368" t="s">
        <v>515</v>
      </c>
      <c r="AC446" s="368">
        <v>1229</v>
      </c>
      <c r="AD446" s="368" t="s">
        <v>515</v>
      </c>
      <c r="AE446" s="368">
        <v>1406</v>
      </c>
      <c r="AF446" s="368" t="s">
        <v>515</v>
      </c>
      <c r="AG446" s="368">
        <v>1380</v>
      </c>
      <c r="AH446" s="368" t="s">
        <v>515</v>
      </c>
      <c r="AI446" s="368">
        <v>1597</v>
      </c>
      <c r="AJ446" s="368" t="s">
        <v>515</v>
      </c>
      <c r="AK446" s="368">
        <v>1565</v>
      </c>
      <c r="AL446" s="368" t="s">
        <v>515</v>
      </c>
      <c r="AM446" s="368">
        <f>SUM(O446:AK446)</f>
        <v>18049</v>
      </c>
    </row>
    <row r="447" spans="1:39" s="90" customFormat="1" ht="18" customHeight="1" x14ac:dyDescent="0.3">
      <c r="A447" s="431">
        <v>219</v>
      </c>
      <c r="B447" s="422" t="s">
        <v>797</v>
      </c>
      <c r="C447" s="11" t="s">
        <v>512</v>
      </c>
      <c r="D447" s="156" t="s">
        <v>516</v>
      </c>
      <c r="E447" s="31" t="s">
        <v>364</v>
      </c>
      <c r="F447" s="23" t="s">
        <v>49</v>
      </c>
      <c r="G447" s="374"/>
      <c r="H447" s="133"/>
      <c r="I447" s="156"/>
      <c r="J447" s="133"/>
      <c r="K447" s="330"/>
      <c r="L447" s="330"/>
      <c r="M447" s="24"/>
      <c r="N447" s="330"/>
      <c r="O447" s="368"/>
      <c r="P447" s="368"/>
      <c r="Q447" s="368"/>
      <c r="R447" s="368"/>
      <c r="S447" s="368"/>
      <c r="T447" s="368"/>
      <c r="U447" s="368"/>
      <c r="V447" s="368"/>
      <c r="W447" s="368"/>
      <c r="X447" s="368"/>
      <c r="Y447" s="368"/>
      <c r="Z447" s="368"/>
      <c r="AA447" s="368"/>
      <c r="AB447" s="368"/>
      <c r="AC447" s="368"/>
      <c r="AD447" s="368"/>
      <c r="AE447" s="368"/>
      <c r="AF447" s="368"/>
      <c r="AG447" s="368"/>
      <c r="AH447" s="368"/>
      <c r="AI447" s="368"/>
      <c r="AJ447" s="368"/>
      <c r="AK447" s="368"/>
      <c r="AL447" s="368"/>
      <c r="AM447" s="368"/>
    </row>
    <row r="448" spans="1:39" s="90" customFormat="1" ht="18" customHeight="1" x14ac:dyDescent="0.3">
      <c r="A448" s="432"/>
      <c r="B448" s="423"/>
      <c r="C448" s="12"/>
      <c r="D448" s="156"/>
      <c r="E448" s="31" t="s">
        <v>48</v>
      </c>
      <c r="F448" s="23" t="s">
        <v>49</v>
      </c>
      <c r="G448" s="374" t="s">
        <v>521</v>
      </c>
      <c r="H448" s="133">
        <v>28</v>
      </c>
      <c r="I448" s="156" t="s">
        <v>525</v>
      </c>
      <c r="J448" s="133">
        <v>1</v>
      </c>
      <c r="K448" s="330" t="s">
        <v>218</v>
      </c>
      <c r="L448" s="330" t="s">
        <v>218</v>
      </c>
      <c r="M448" s="24">
        <v>840</v>
      </c>
      <c r="N448" s="330">
        <v>1062</v>
      </c>
      <c r="O448" s="368">
        <v>189</v>
      </c>
      <c r="P448" s="368" t="s">
        <v>515</v>
      </c>
      <c r="Q448" s="368">
        <v>170</v>
      </c>
      <c r="R448" s="368" t="s">
        <v>515</v>
      </c>
      <c r="S448" s="368">
        <v>124</v>
      </c>
      <c r="T448" s="368" t="s">
        <v>515</v>
      </c>
      <c r="U448" s="368">
        <v>96</v>
      </c>
      <c r="V448" s="368" t="s">
        <v>515</v>
      </c>
      <c r="W448" s="368">
        <v>88</v>
      </c>
      <c r="X448" s="368" t="s">
        <v>515</v>
      </c>
      <c r="Y448" s="368">
        <v>83</v>
      </c>
      <c r="Z448" s="368" t="s">
        <v>515</v>
      </c>
      <c r="AA448" s="368">
        <v>87</v>
      </c>
      <c r="AB448" s="368" t="s">
        <v>515</v>
      </c>
      <c r="AC448" s="368">
        <v>97</v>
      </c>
      <c r="AD448" s="368" t="s">
        <v>515</v>
      </c>
      <c r="AE448" s="368">
        <v>155</v>
      </c>
      <c r="AF448" s="368" t="s">
        <v>515</v>
      </c>
      <c r="AG448" s="368">
        <v>201</v>
      </c>
      <c r="AH448" s="368" t="s">
        <v>515</v>
      </c>
      <c r="AI448" s="368">
        <v>184</v>
      </c>
      <c r="AJ448" s="368" t="s">
        <v>515</v>
      </c>
      <c r="AK448" s="368">
        <v>216</v>
      </c>
      <c r="AL448" s="368" t="s">
        <v>515</v>
      </c>
      <c r="AM448" s="368">
        <f>SUM(O448:AK448)</f>
        <v>1690</v>
      </c>
    </row>
    <row r="449" spans="1:39" s="3" customFormat="1" ht="18" customHeight="1" x14ac:dyDescent="0.3">
      <c r="A449" s="431">
        <v>220</v>
      </c>
      <c r="B449" s="422" t="s">
        <v>802</v>
      </c>
      <c r="C449" s="11" t="s">
        <v>809</v>
      </c>
      <c r="D449" s="11" t="s">
        <v>810</v>
      </c>
      <c r="E449" s="31" t="s">
        <v>144</v>
      </c>
      <c r="F449" s="23" t="s">
        <v>49</v>
      </c>
      <c r="G449" s="177" t="s">
        <v>811</v>
      </c>
      <c r="H449" s="131">
        <v>192</v>
      </c>
      <c r="I449" s="158" t="s">
        <v>812</v>
      </c>
      <c r="J449" s="131">
        <v>18</v>
      </c>
      <c r="K449" s="132" t="s">
        <v>218</v>
      </c>
      <c r="L449" s="132" t="s">
        <v>218</v>
      </c>
      <c r="M449" s="23">
        <v>43581</v>
      </c>
      <c r="N449" s="132">
        <v>41629</v>
      </c>
      <c r="O449" s="327">
        <v>3315</v>
      </c>
      <c r="P449" s="327"/>
      <c r="Q449" s="327">
        <v>3446</v>
      </c>
      <c r="R449" s="327"/>
      <c r="S449" s="327">
        <v>3460</v>
      </c>
      <c r="T449" s="327"/>
      <c r="U449" s="327">
        <v>3184</v>
      </c>
      <c r="V449" s="327"/>
      <c r="W449" s="327">
        <v>2315</v>
      </c>
      <c r="X449" s="327"/>
      <c r="Y449" s="327">
        <v>1975</v>
      </c>
      <c r="Z449" s="327"/>
      <c r="AA449" s="327">
        <v>2035</v>
      </c>
      <c r="AB449" s="327"/>
      <c r="AC449" s="327">
        <v>2127</v>
      </c>
      <c r="AD449" s="327"/>
      <c r="AE449" s="327">
        <v>2592</v>
      </c>
      <c r="AF449" s="327"/>
      <c r="AG449" s="327">
        <v>3673</v>
      </c>
      <c r="AH449" s="327"/>
      <c r="AI449" s="327">
        <v>4129</v>
      </c>
      <c r="AJ449" s="327"/>
      <c r="AK449" s="327">
        <v>4168</v>
      </c>
      <c r="AL449" s="327"/>
      <c r="AM449" s="327">
        <v>121629</v>
      </c>
    </row>
    <row r="450" spans="1:39" ht="18" customHeight="1" x14ac:dyDescent="0.3">
      <c r="A450" s="432"/>
      <c r="B450" s="423"/>
      <c r="C450" s="12"/>
      <c r="D450" s="12"/>
      <c r="E450" s="31" t="s">
        <v>48</v>
      </c>
      <c r="F450" s="23" t="s">
        <v>49</v>
      </c>
      <c r="G450" s="374"/>
      <c r="H450" s="133"/>
      <c r="I450" s="156"/>
      <c r="J450" s="133"/>
      <c r="K450" s="132"/>
      <c r="L450" s="132"/>
      <c r="M450" s="24"/>
      <c r="N450" s="330"/>
      <c r="O450" s="330"/>
      <c r="P450" s="330"/>
      <c r="Q450" s="330"/>
      <c r="R450" s="330"/>
      <c r="S450" s="330"/>
      <c r="T450" s="330"/>
      <c r="U450" s="330"/>
      <c r="V450" s="330"/>
      <c r="W450" s="330"/>
      <c r="X450" s="330"/>
      <c r="Y450" s="330"/>
      <c r="Z450" s="330"/>
      <c r="AA450" s="330"/>
      <c r="AB450" s="330"/>
      <c r="AC450" s="330"/>
      <c r="AD450" s="330"/>
      <c r="AE450" s="330"/>
      <c r="AF450" s="330"/>
      <c r="AG450" s="330"/>
      <c r="AH450" s="330"/>
      <c r="AI450" s="330"/>
      <c r="AJ450" s="330"/>
      <c r="AK450" s="330"/>
      <c r="AL450" s="330"/>
      <c r="AM450" s="330"/>
    </row>
    <row r="451" spans="1:39" s="165" customFormat="1" ht="18" customHeight="1" x14ac:dyDescent="0.3">
      <c r="A451" s="431">
        <v>221</v>
      </c>
      <c r="B451" s="422" t="s">
        <v>803</v>
      </c>
      <c r="C451" s="114" t="s">
        <v>823</v>
      </c>
      <c r="D451" s="114" t="s">
        <v>824</v>
      </c>
      <c r="E451" s="167" t="s">
        <v>144</v>
      </c>
      <c r="F451" s="150" t="s">
        <v>49</v>
      </c>
      <c r="G451" s="215"/>
      <c r="H451" s="114"/>
      <c r="I451" s="290"/>
      <c r="J451" s="114"/>
      <c r="K451" s="150" t="s">
        <v>218</v>
      </c>
      <c r="L451" s="150" t="s">
        <v>218</v>
      </c>
      <c r="M451" s="150">
        <v>39862</v>
      </c>
      <c r="N451" s="150">
        <v>33312</v>
      </c>
      <c r="O451" s="150">
        <v>2924</v>
      </c>
      <c r="P451" s="150" t="s">
        <v>515</v>
      </c>
      <c r="Q451" s="150">
        <v>3739</v>
      </c>
      <c r="R451" s="150" t="s">
        <v>515</v>
      </c>
      <c r="S451" s="150">
        <v>3323</v>
      </c>
      <c r="T451" s="150" t="s">
        <v>515</v>
      </c>
      <c r="U451" s="150">
        <v>2613</v>
      </c>
      <c r="V451" s="150" t="s">
        <v>515</v>
      </c>
      <c r="W451" s="150">
        <v>3226</v>
      </c>
      <c r="X451" s="150" t="s">
        <v>515</v>
      </c>
      <c r="Y451" s="150">
        <v>1370</v>
      </c>
      <c r="Z451" s="150" t="s">
        <v>515</v>
      </c>
      <c r="AA451" s="150">
        <v>2260</v>
      </c>
      <c r="AB451" s="150" t="s">
        <v>515</v>
      </c>
      <c r="AC451" s="150">
        <v>3618</v>
      </c>
      <c r="AD451" s="150" t="s">
        <v>515</v>
      </c>
      <c r="AE451" s="150">
        <v>1712</v>
      </c>
      <c r="AF451" s="150" t="s">
        <v>515</v>
      </c>
      <c r="AG451" s="150">
        <v>3011</v>
      </c>
      <c r="AH451" s="150" t="s">
        <v>515</v>
      </c>
      <c r="AI451" s="150">
        <v>2532</v>
      </c>
      <c r="AJ451" s="150" t="s">
        <v>515</v>
      </c>
      <c r="AK451" s="150" t="s">
        <v>825</v>
      </c>
      <c r="AL451" s="150" t="s">
        <v>207</v>
      </c>
      <c r="AM451" s="150">
        <v>28033</v>
      </c>
    </row>
    <row r="452" spans="1:39" s="90" customFormat="1" ht="18" customHeight="1" x14ac:dyDescent="0.3">
      <c r="A452" s="432"/>
      <c r="B452" s="423"/>
      <c r="C452" s="88"/>
      <c r="D452" s="88"/>
      <c r="E452" s="31" t="s">
        <v>48</v>
      </c>
      <c r="F452" s="85" t="s">
        <v>49</v>
      </c>
      <c r="G452" s="375"/>
      <c r="H452" s="120"/>
      <c r="I452" s="160"/>
      <c r="J452" s="120"/>
      <c r="K452" s="116"/>
      <c r="L452" s="116"/>
      <c r="M452" s="8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  <c r="AA452" s="119"/>
      <c r="AB452" s="119"/>
      <c r="AC452" s="119"/>
      <c r="AD452" s="119"/>
      <c r="AE452" s="119"/>
      <c r="AF452" s="119"/>
      <c r="AG452" s="119"/>
      <c r="AH452" s="119"/>
      <c r="AI452" s="119"/>
      <c r="AJ452" s="119"/>
      <c r="AK452" s="119"/>
      <c r="AL452" s="119"/>
      <c r="AM452" s="119"/>
    </row>
    <row r="453" spans="1:39" ht="18" customHeight="1" x14ac:dyDescent="0.3">
      <c r="A453" s="431">
        <v>222</v>
      </c>
      <c r="B453" s="422" t="s">
        <v>836</v>
      </c>
      <c r="C453" s="133"/>
      <c r="D453" s="156"/>
      <c r="E453" s="31" t="s">
        <v>144</v>
      </c>
      <c r="F453" s="23" t="s">
        <v>49</v>
      </c>
      <c r="G453" s="374"/>
      <c r="H453" s="133"/>
      <c r="I453" s="156"/>
      <c r="J453" s="133"/>
      <c r="K453" s="330"/>
      <c r="L453" s="330"/>
      <c r="M453" s="24"/>
      <c r="N453" s="330"/>
      <c r="O453" s="367"/>
      <c r="P453" s="330"/>
      <c r="Q453" s="330"/>
      <c r="R453" s="330"/>
      <c r="S453" s="330"/>
      <c r="T453" s="330"/>
      <c r="U453" s="330"/>
      <c r="V453" s="330"/>
      <c r="W453" s="330"/>
      <c r="X453" s="330"/>
      <c r="Y453" s="330"/>
      <c r="Z453" s="330"/>
      <c r="AA453" s="330"/>
      <c r="AB453" s="330"/>
      <c r="AC453" s="330"/>
      <c r="AD453" s="330"/>
      <c r="AE453" s="330"/>
      <c r="AF453" s="330"/>
      <c r="AG453" s="330"/>
      <c r="AH453" s="330"/>
      <c r="AI453" s="330"/>
      <c r="AJ453" s="330"/>
      <c r="AK453" s="330"/>
      <c r="AL453" s="330"/>
      <c r="AM453" s="330"/>
    </row>
    <row r="454" spans="1:39" ht="18" customHeight="1" x14ac:dyDescent="0.3">
      <c r="A454" s="432"/>
      <c r="B454" s="423"/>
      <c r="C454" s="133"/>
      <c r="D454" s="156"/>
      <c r="E454" s="31" t="s">
        <v>48</v>
      </c>
      <c r="F454" s="23" t="s">
        <v>49</v>
      </c>
      <c r="G454" s="374"/>
      <c r="H454" s="133"/>
      <c r="I454" s="156"/>
      <c r="J454" s="133"/>
      <c r="K454" s="330"/>
      <c r="L454" s="330"/>
      <c r="M454" s="24"/>
      <c r="N454" s="330"/>
      <c r="O454" s="367"/>
      <c r="P454" s="330"/>
      <c r="Q454" s="330"/>
      <c r="R454" s="330"/>
      <c r="S454" s="330"/>
      <c r="T454" s="330"/>
      <c r="U454" s="330"/>
      <c r="V454" s="330"/>
      <c r="W454" s="330"/>
      <c r="X454" s="330"/>
      <c r="Y454" s="330"/>
      <c r="Z454" s="330"/>
      <c r="AA454" s="330"/>
      <c r="AB454" s="330"/>
      <c r="AC454" s="330"/>
      <c r="AD454" s="330"/>
      <c r="AE454" s="330"/>
      <c r="AF454" s="330"/>
      <c r="AG454" s="330"/>
      <c r="AH454" s="330"/>
      <c r="AI454" s="330"/>
      <c r="AJ454" s="330"/>
      <c r="AK454" s="330"/>
      <c r="AL454" s="330"/>
      <c r="AM454" s="330"/>
    </row>
    <row r="455" spans="1:39" ht="18" customHeight="1" x14ac:dyDescent="0.3">
      <c r="A455" s="431">
        <v>223</v>
      </c>
      <c r="B455" s="422" t="s">
        <v>837</v>
      </c>
      <c r="C455" s="133"/>
      <c r="D455" s="156"/>
      <c r="E455" s="31" t="s">
        <v>144</v>
      </c>
      <c r="F455" s="23" t="s">
        <v>49</v>
      </c>
      <c r="G455" s="374"/>
      <c r="H455" s="133"/>
      <c r="I455" s="156"/>
      <c r="J455" s="133"/>
      <c r="K455" s="330"/>
      <c r="L455" s="330"/>
      <c r="M455" s="24"/>
      <c r="N455" s="330"/>
      <c r="O455" s="367"/>
      <c r="P455" s="330"/>
      <c r="Q455" s="330"/>
      <c r="R455" s="330"/>
      <c r="S455" s="330"/>
      <c r="T455" s="330"/>
      <c r="U455" s="330"/>
      <c r="V455" s="330"/>
      <c r="W455" s="330"/>
      <c r="X455" s="330"/>
      <c r="Y455" s="330"/>
      <c r="Z455" s="330"/>
      <c r="AA455" s="330"/>
      <c r="AB455" s="330"/>
      <c r="AC455" s="330"/>
      <c r="AD455" s="330"/>
      <c r="AE455" s="330"/>
      <c r="AF455" s="330"/>
      <c r="AG455" s="330"/>
      <c r="AH455" s="330"/>
      <c r="AI455" s="330"/>
      <c r="AJ455" s="330"/>
      <c r="AK455" s="330"/>
      <c r="AL455" s="330"/>
      <c r="AM455" s="330"/>
    </row>
    <row r="456" spans="1:39" ht="18" customHeight="1" x14ac:dyDescent="0.3">
      <c r="A456" s="432"/>
      <c r="B456" s="423"/>
      <c r="C456" s="133"/>
      <c r="D456" s="156"/>
      <c r="E456" s="31" t="s">
        <v>48</v>
      </c>
      <c r="F456" s="23" t="s">
        <v>49</v>
      </c>
      <c r="G456" s="374"/>
      <c r="H456" s="133"/>
      <c r="I456" s="156"/>
      <c r="J456" s="133"/>
      <c r="K456" s="330"/>
      <c r="L456" s="330"/>
      <c r="M456" s="24"/>
      <c r="N456" s="330"/>
      <c r="O456" s="367"/>
      <c r="P456" s="330"/>
      <c r="Q456" s="330"/>
      <c r="R456" s="330"/>
      <c r="S456" s="330"/>
      <c r="T456" s="330"/>
      <c r="U456" s="330"/>
      <c r="V456" s="330"/>
      <c r="W456" s="330"/>
      <c r="X456" s="330"/>
      <c r="Y456" s="330"/>
      <c r="Z456" s="330"/>
      <c r="AA456" s="330"/>
      <c r="AB456" s="330"/>
      <c r="AC456" s="330"/>
      <c r="AD456" s="330"/>
      <c r="AE456" s="330"/>
      <c r="AF456" s="330"/>
      <c r="AG456" s="330"/>
      <c r="AH456" s="330"/>
      <c r="AI456" s="330"/>
      <c r="AJ456" s="330"/>
      <c r="AK456" s="330"/>
      <c r="AL456" s="330"/>
      <c r="AM456" s="330"/>
    </row>
    <row r="457" spans="1:39" ht="18" customHeight="1" x14ac:dyDescent="0.3">
      <c r="A457" s="431">
        <v>224</v>
      </c>
      <c r="B457" s="422" t="s">
        <v>838</v>
      </c>
      <c r="C457" s="133"/>
      <c r="D457" s="156"/>
      <c r="E457" s="31" t="s">
        <v>144</v>
      </c>
      <c r="F457" s="23" t="s">
        <v>49</v>
      </c>
      <c r="G457" s="374"/>
      <c r="H457" s="133"/>
      <c r="I457" s="156"/>
      <c r="J457" s="133"/>
      <c r="K457" s="330"/>
      <c r="L457" s="330"/>
      <c r="M457" s="24"/>
      <c r="N457" s="330"/>
      <c r="O457" s="367"/>
      <c r="P457" s="330"/>
      <c r="Q457" s="330"/>
      <c r="R457" s="330"/>
      <c r="S457" s="330"/>
      <c r="T457" s="330"/>
      <c r="U457" s="330"/>
      <c r="V457" s="330"/>
      <c r="W457" s="330"/>
      <c r="X457" s="330"/>
      <c r="Y457" s="330"/>
      <c r="Z457" s="330"/>
      <c r="AA457" s="330"/>
      <c r="AB457" s="330"/>
      <c r="AC457" s="330"/>
      <c r="AD457" s="330"/>
      <c r="AE457" s="330"/>
      <c r="AF457" s="330"/>
      <c r="AG457" s="330"/>
      <c r="AH457" s="330"/>
      <c r="AI457" s="330"/>
      <c r="AJ457" s="330"/>
      <c r="AK457" s="330"/>
      <c r="AL457" s="330"/>
      <c r="AM457" s="330"/>
    </row>
    <row r="458" spans="1:39" ht="18" customHeight="1" x14ac:dyDescent="0.3">
      <c r="A458" s="432"/>
      <c r="B458" s="423"/>
      <c r="C458" s="133"/>
      <c r="D458" s="156"/>
      <c r="E458" s="31" t="s">
        <v>48</v>
      </c>
      <c r="F458" s="23" t="s">
        <v>49</v>
      </c>
      <c r="G458" s="374"/>
      <c r="H458" s="133"/>
      <c r="I458" s="156"/>
      <c r="J458" s="133"/>
      <c r="K458" s="330"/>
      <c r="L458" s="330"/>
      <c r="M458" s="24"/>
      <c r="N458" s="330"/>
      <c r="O458" s="367"/>
      <c r="P458" s="330"/>
      <c r="Q458" s="330"/>
      <c r="R458" s="330"/>
      <c r="S458" s="330"/>
      <c r="T458" s="330"/>
      <c r="U458" s="330"/>
      <c r="V458" s="330"/>
      <c r="W458" s="330"/>
      <c r="X458" s="330"/>
      <c r="Y458" s="330"/>
      <c r="Z458" s="330"/>
      <c r="AA458" s="330"/>
      <c r="AB458" s="330"/>
      <c r="AC458" s="330"/>
      <c r="AD458" s="330"/>
      <c r="AE458" s="330"/>
      <c r="AF458" s="330"/>
      <c r="AG458" s="330"/>
      <c r="AH458" s="330"/>
      <c r="AI458" s="330"/>
      <c r="AJ458" s="330"/>
      <c r="AK458" s="330"/>
      <c r="AL458" s="330"/>
      <c r="AM458" s="330"/>
    </row>
    <row r="459" spans="1:39" ht="18" customHeight="1" x14ac:dyDescent="0.3">
      <c r="A459" s="431">
        <v>225</v>
      </c>
      <c r="B459" s="422" t="s">
        <v>839</v>
      </c>
      <c r="C459" s="133"/>
      <c r="D459" s="156"/>
      <c r="E459" s="31" t="s">
        <v>144</v>
      </c>
      <c r="F459" s="23" t="s">
        <v>49</v>
      </c>
      <c r="G459" s="374"/>
      <c r="H459" s="133"/>
      <c r="I459" s="156"/>
      <c r="J459" s="133"/>
      <c r="K459" s="330"/>
      <c r="L459" s="330"/>
      <c r="M459" s="24"/>
      <c r="N459" s="330"/>
      <c r="O459" s="367"/>
      <c r="P459" s="330"/>
      <c r="Q459" s="330"/>
      <c r="R459" s="330"/>
      <c r="S459" s="330"/>
      <c r="T459" s="330"/>
      <c r="U459" s="330"/>
      <c r="V459" s="330"/>
      <c r="W459" s="330"/>
      <c r="X459" s="330"/>
      <c r="Y459" s="330"/>
      <c r="Z459" s="330"/>
      <c r="AA459" s="330"/>
      <c r="AB459" s="330"/>
      <c r="AC459" s="330"/>
      <c r="AD459" s="330"/>
      <c r="AE459" s="330"/>
      <c r="AF459" s="330"/>
      <c r="AG459" s="330"/>
      <c r="AH459" s="330"/>
      <c r="AI459" s="330"/>
      <c r="AJ459" s="330"/>
      <c r="AK459" s="330"/>
      <c r="AL459" s="330"/>
      <c r="AM459" s="330"/>
    </row>
    <row r="460" spans="1:39" ht="18" customHeight="1" x14ac:dyDescent="0.3">
      <c r="A460" s="432"/>
      <c r="B460" s="423"/>
      <c r="C460" s="133"/>
      <c r="D460" s="156"/>
      <c r="E460" s="31" t="s">
        <v>48</v>
      </c>
      <c r="F460" s="23" t="s">
        <v>49</v>
      </c>
      <c r="G460" s="374"/>
      <c r="H460" s="133"/>
      <c r="I460" s="156"/>
      <c r="J460" s="133"/>
      <c r="K460" s="330"/>
      <c r="L460" s="330"/>
      <c r="M460" s="24"/>
      <c r="N460" s="330"/>
      <c r="O460" s="367"/>
      <c r="P460" s="330"/>
      <c r="Q460" s="330"/>
      <c r="R460" s="330"/>
      <c r="S460" s="330"/>
      <c r="T460" s="330"/>
      <c r="U460" s="330"/>
      <c r="V460" s="330"/>
      <c r="W460" s="330"/>
      <c r="X460" s="330"/>
      <c r="Y460" s="330"/>
      <c r="Z460" s="330"/>
      <c r="AA460" s="330"/>
      <c r="AB460" s="330"/>
      <c r="AC460" s="330"/>
      <c r="AD460" s="330"/>
      <c r="AE460" s="330"/>
      <c r="AF460" s="330"/>
      <c r="AG460" s="330"/>
      <c r="AH460" s="330"/>
      <c r="AI460" s="330"/>
      <c r="AJ460" s="330"/>
      <c r="AK460" s="330"/>
      <c r="AL460" s="330"/>
      <c r="AM460" s="330"/>
    </row>
    <row r="461" spans="1:39" ht="18" customHeight="1" x14ac:dyDescent="0.3">
      <c r="A461" s="431">
        <v>226</v>
      </c>
      <c r="B461" s="422" t="s">
        <v>840</v>
      </c>
      <c r="C461" s="133"/>
      <c r="D461" s="156"/>
      <c r="E461" s="31" t="s">
        <v>144</v>
      </c>
      <c r="F461" s="23" t="s">
        <v>49</v>
      </c>
      <c r="G461" s="374"/>
      <c r="H461" s="133"/>
      <c r="I461" s="156"/>
      <c r="J461" s="133"/>
      <c r="K461" s="330"/>
      <c r="L461" s="330"/>
      <c r="M461" s="24"/>
      <c r="N461" s="330"/>
      <c r="O461" s="367"/>
      <c r="P461" s="330"/>
      <c r="Q461" s="330"/>
      <c r="R461" s="330"/>
      <c r="S461" s="330"/>
      <c r="T461" s="330"/>
      <c r="U461" s="330"/>
      <c r="V461" s="330"/>
      <c r="W461" s="330"/>
      <c r="X461" s="330"/>
      <c r="Y461" s="330"/>
      <c r="Z461" s="330"/>
      <c r="AA461" s="330"/>
      <c r="AB461" s="330"/>
      <c r="AC461" s="330"/>
      <c r="AD461" s="330"/>
      <c r="AE461" s="330"/>
      <c r="AF461" s="330"/>
      <c r="AG461" s="330"/>
      <c r="AH461" s="330"/>
      <c r="AI461" s="330"/>
      <c r="AJ461" s="330"/>
      <c r="AK461" s="330"/>
      <c r="AL461" s="330"/>
      <c r="AM461" s="330"/>
    </row>
    <row r="462" spans="1:39" ht="18" customHeight="1" x14ac:dyDescent="0.3">
      <c r="A462" s="432"/>
      <c r="B462" s="423"/>
      <c r="C462" s="133"/>
      <c r="D462" s="156"/>
      <c r="E462" s="31" t="s">
        <v>48</v>
      </c>
      <c r="F462" s="23" t="s">
        <v>49</v>
      </c>
      <c r="G462" s="374"/>
      <c r="H462" s="133"/>
      <c r="I462" s="156"/>
      <c r="J462" s="133"/>
      <c r="K462" s="330"/>
      <c r="L462" s="330"/>
      <c r="M462" s="24"/>
      <c r="N462" s="330"/>
      <c r="O462" s="367"/>
      <c r="P462" s="330"/>
      <c r="Q462" s="330"/>
      <c r="R462" s="330"/>
      <c r="S462" s="330"/>
      <c r="T462" s="330"/>
      <c r="U462" s="330"/>
      <c r="V462" s="330"/>
      <c r="W462" s="330"/>
      <c r="X462" s="330"/>
      <c r="Y462" s="330"/>
      <c r="Z462" s="330"/>
      <c r="AA462" s="330"/>
      <c r="AB462" s="330"/>
      <c r="AC462" s="330"/>
      <c r="AD462" s="330"/>
      <c r="AE462" s="330"/>
      <c r="AF462" s="330"/>
      <c r="AG462" s="330"/>
      <c r="AH462" s="330"/>
      <c r="AI462" s="330"/>
      <c r="AJ462" s="330"/>
      <c r="AK462" s="330"/>
      <c r="AL462" s="330"/>
      <c r="AM462" s="330"/>
    </row>
    <row r="463" spans="1:39" ht="18" customHeight="1" x14ac:dyDescent="0.3">
      <c r="A463" s="431">
        <v>227</v>
      </c>
      <c r="B463" s="422" t="s">
        <v>841</v>
      </c>
      <c r="C463" s="133"/>
      <c r="D463" s="156"/>
      <c r="E463" s="31" t="s">
        <v>144</v>
      </c>
      <c r="F463" s="23" t="s">
        <v>49</v>
      </c>
      <c r="G463" s="374"/>
      <c r="H463" s="133"/>
      <c r="I463" s="156"/>
      <c r="J463" s="133"/>
      <c r="K463" s="330"/>
      <c r="L463" s="330"/>
      <c r="M463" s="24"/>
      <c r="N463" s="330"/>
      <c r="O463" s="367"/>
      <c r="P463" s="330"/>
      <c r="Q463" s="330"/>
      <c r="R463" s="330"/>
      <c r="S463" s="330"/>
      <c r="T463" s="330"/>
      <c r="U463" s="330"/>
      <c r="V463" s="330"/>
      <c r="W463" s="330"/>
      <c r="X463" s="330"/>
      <c r="Y463" s="330"/>
      <c r="Z463" s="330"/>
      <c r="AA463" s="330"/>
      <c r="AB463" s="330"/>
      <c r="AC463" s="330"/>
      <c r="AD463" s="330"/>
      <c r="AE463" s="330"/>
      <c r="AF463" s="330"/>
      <c r="AG463" s="330"/>
      <c r="AH463" s="330"/>
      <c r="AI463" s="330"/>
      <c r="AJ463" s="330"/>
      <c r="AK463" s="330"/>
      <c r="AL463" s="330"/>
      <c r="AM463" s="330"/>
    </row>
    <row r="464" spans="1:39" ht="18" customHeight="1" x14ac:dyDescent="0.3">
      <c r="A464" s="432"/>
      <c r="B464" s="423"/>
      <c r="C464" s="133"/>
      <c r="D464" s="156"/>
      <c r="E464" s="31" t="s">
        <v>48</v>
      </c>
      <c r="F464" s="23" t="s">
        <v>49</v>
      </c>
      <c r="G464" s="374"/>
      <c r="H464" s="133"/>
      <c r="I464" s="156"/>
      <c r="J464" s="133"/>
      <c r="K464" s="330"/>
      <c r="L464" s="330"/>
      <c r="M464" s="24"/>
      <c r="N464" s="330"/>
      <c r="O464" s="367"/>
      <c r="P464" s="330"/>
      <c r="Q464" s="330"/>
      <c r="R464" s="330"/>
      <c r="S464" s="330"/>
      <c r="T464" s="330"/>
      <c r="U464" s="330"/>
      <c r="V464" s="330"/>
      <c r="W464" s="330"/>
      <c r="X464" s="330"/>
      <c r="Y464" s="330"/>
      <c r="Z464" s="330"/>
      <c r="AA464" s="330"/>
      <c r="AB464" s="330"/>
      <c r="AC464" s="330"/>
      <c r="AD464" s="330"/>
      <c r="AE464" s="330"/>
      <c r="AF464" s="330"/>
      <c r="AG464" s="330"/>
      <c r="AH464" s="330"/>
      <c r="AI464" s="330"/>
      <c r="AJ464" s="330"/>
      <c r="AK464" s="330"/>
      <c r="AL464" s="330"/>
      <c r="AM464" s="330"/>
    </row>
    <row r="465" spans="1:39" ht="18" customHeight="1" x14ac:dyDescent="0.3">
      <c r="A465" s="431">
        <v>228</v>
      </c>
      <c r="B465" s="422" t="s">
        <v>842</v>
      </c>
      <c r="C465" s="133"/>
      <c r="D465" s="156"/>
      <c r="E465" s="31" t="s">
        <v>144</v>
      </c>
      <c r="F465" s="23" t="s">
        <v>49</v>
      </c>
      <c r="G465" s="374"/>
      <c r="H465" s="133"/>
      <c r="I465" s="156"/>
      <c r="J465" s="133"/>
      <c r="K465" s="330"/>
      <c r="L465" s="330"/>
      <c r="M465" s="24"/>
      <c r="N465" s="330"/>
      <c r="O465" s="367"/>
      <c r="P465" s="330"/>
      <c r="Q465" s="330"/>
      <c r="R465" s="330"/>
      <c r="S465" s="330"/>
      <c r="T465" s="330"/>
      <c r="U465" s="330"/>
      <c r="V465" s="330"/>
      <c r="W465" s="330"/>
      <c r="X465" s="330"/>
      <c r="Y465" s="330"/>
      <c r="Z465" s="330"/>
      <c r="AA465" s="330"/>
      <c r="AB465" s="330"/>
      <c r="AC465" s="330"/>
      <c r="AD465" s="330"/>
      <c r="AE465" s="330"/>
      <c r="AF465" s="330"/>
      <c r="AG465" s="330"/>
      <c r="AH465" s="330"/>
      <c r="AI465" s="330"/>
      <c r="AJ465" s="330"/>
      <c r="AK465" s="330"/>
      <c r="AL465" s="330"/>
      <c r="AM465" s="330"/>
    </row>
    <row r="466" spans="1:39" ht="18" customHeight="1" x14ac:dyDescent="0.3">
      <c r="A466" s="432"/>
      <c r="B466" s="423"/>
      <c r="C466" s="133"/>
      <c r="D466" s="156"/>
      <c r="E466" s="31" t="s">
        <v>48</v>
      </c>
      <c r="F466" s="23" t="s">
        <v>49</v>
      </c>
      <c r="G466" s="374"/>
      <c r="H466" s="133"/>
      <c r="I466" s="156"/>
      <c r="J466" s="133"/>
      <c r="K466" s="330"/>
      <c r="L466" s="330"/>
      <c r="M466" s="24"/>
      <c r="N466" s="330"/>
      <c r="O466" s="367"/>
      <c r="P466" s="330"/>
      <c r="Q466" s="330"/>
      <c r="R466" s="330"/>
      <c r="S466" s="330"/>
      <c r="T466" s="330"/>
      <c r="U466" s="330"/>
      <c r="V466" s="330"/>
      <c r="W466" s="330"/>
      <c r="X466" s="330"/>
      <c r="Y466" s="330"/>
      <c r="Z466" s="330"/>
      <c r="AA466" s="330"/>
      <c r="AB466" s="330"/>
      <c r="AC466" s="330"/>
      <c r="AD466" s="330"/>
      <c r="AE466" s="330"/>
      <c r="AF466" s="330"/>
      <c r="AG466" s="330"/>
      <c r="AH466" s="330"/>
      <c r="AI466" s="330"/>
      <c r="AJ466" s="330"/>
      <c r="AK466" s="330"/>
      <c r="AL466" s="330"/>
      <c r="AM466" s="330"/>
    </row>
    <row r="467" spans="1:39" ht="18" customHeight="1" x14ac:dyDescent="0.3">
      <c r="A467" s="431">
        <v>229</v>
      </c>
      <c r="B467" s="422" t="s">
        <v>843</v>
      </c>
      <c r="C467" s="133"/>
      <c r="D467" s="156"/>
      <c r="E467" s="31" t="s">
        <v>144</v>
      </c>
      <c r="F467" s="23" t="s">
        <v>49</v>
      </c>
      <c r="G467" s="374"/>
      <c r="H467" s="133"/>
      <c r="I467" s="156"/>
      <c r="J467" s="133"/>
      <c r="K467" s="330"/>
      <c r="L467" s="330"/>
      <c r="M467" s="24"/>
      <c r="N467" s="330"/>
      <c r="O467" s="367"/>
      <c r="P467" s="330"/>
      <c r="Q467" s="330"/>
      <c r="R467" s="330"/>
      <c r="S467" s="330"/>
      <c r="T467" s="330"/>
      <c r="U467" s="330"/>
      <c r="V467" s="330"/>
      <c r="W467" s="330"/>
      <c r="X467" s="330"/>
      <c r="Y467" s="330"/>
      <c r="Z467" s="330"/>
      <c r="AA467" s="330"/>
      <c r="AB467" s="330"/>
      <c r="AC467" s="330"/>
      <c r="AD467" s="330"/>
      <c r="AE467" s="330"/>
      <c r="AF467" s="330"/>
      <c r="AG467" s="330"/>
      <c r="AH467" s="330"/>
      <c r="AI467" s="330"/>
      <c r="AJ467" s="330"/>
      <c r="AK467" s="330"/>
      <c r="AL467" s="330"/>
      <c r="AM467" s="330"/>
    </row>
    <row r="468" spans="1:39" ht="18" customHeight="1" x14ac:dyDescent="0.3">
      <c r="A468" s="432"/>
      <c r="B468" s="423"/>
      <c r="C468" s="133"/>
      <c r="D468" s="156"/>
      <c r="E468" s="31" t="s">
        <v>48</v>
      </c>
      <c r="F468" s="23" t="s">
        <v>49</v>
      </c>
      <c r="G468" s="374"/>
      <c r="H468" s="133"/>
      <c r="I468" s="156"/>
      <c r="J468" s="133"/>
      <c r="K468" s="330"/>
      <c r="L468" s="330"/>
      <c r="M468" s="24"/>
      <c r="N468" s="330"/>
      <c r="O468" s="367"/>
      <c r="P468" s="330"/>
      <c r="Q468" s="330"/>
      <c r="R468" s="330"/>
      <c r="S468" s="330"/>
      <c r="T468" s="330"/>
      <c r="U468" s="330"/>
      <c r="V468" s="330"/>
      <c r="W468" s="330"/>
      <c r="X468" s="330"/>
      <c r="Y468" s="330"/>
      <c r="Z468" s="330"/>
      <c r="AA468" s="330"/>
      <c r="AB468" s="330"/>
      <c r="AC468" s="330"/>
      <c r="AD468" s="330"/>
      <c r="AE468" s="330"/>
      <c r="AF468" s="330"/>
      <c r="AG468" s="330"/>
      <c r="AH468" s="330"/>
      <c r="AI468" s="330"/>
      <c r="AJ468" s="330"/>
      <c r="AK468" s="330"/>
      <c r="AL468" s="330"/>
      <c r="AM468" s="330"/>
    </row>
    <row r="469" spans="1:39" ht="18" customHeight="1" x14ac:dyDescent="0.3">
      <c r="A469" s="431">
        <v>230</v>
      </c>
      <c r="B469" s="422" t="s">
        <v>844</v>
      </c>
      <c r="C469" s="133"/>
      <c r="D469" s="156"/>
      <c r="E469" s="31" t="s">
        <v>144</v>
      </c>
      <c r="F469" s="23" t="s">
        <v>49</v>
      </c>
      <c r="G469" s="374"/>
      <c r="H469" s="133"/>
      <c r="I469" s="156"/>
      <c r="J469" s="133"/>
      <c r="K469" s="330"/>
      <c r="L469" s="330"/>
      <c r="M469" s="24"/>
      <c r="N469" s="330"/>
      <c r="O469" s="367"/>
      <c r="P469" s="330"/>
      <c r="Q469" s="330"/>
      <c r="R469" s="330"/>
      <c r="S469" s="330"/>
      <c r="T469" s="330"/>
      <c r="U469" s="330"/>
      <c r="V469" s="330"/>
      <c r="W469" s="330"/>
      <c r="X469" s="330"/>
      <c r="Y469" s="330"/>
      <c r="Z469" s="330"/>
      <c r="AA469" s="330"/>
      <c r="AB469" s="330"/>
      <c r="AC469" s="330"/>
      <c r="AD469" s="330"/>
      <c r="AE469" s="330"/>
      <c r="AF469" s="330"/>
      <c r="AG469" s="330"/>
      <c r="AH469" s="330"/>
      <c r="AI469" s="330"/>
      <c r="AJ469" s="330"/>
      <c r="AK469" s="330"/>
      <c r="AL469" s="330"/>
      <c r="AM469" s="330"/>
    </row>
    <row r="470" spans="1:39" ht="18" customHeight="1" x14ac:dyDescent="0.3">
      <c r="A470" s="432"/>
      <c r="B470" s="423"/>
      <c r="C470" s="133"/>
      <c r="D470" s="156"/>
      <c r="E470" s="31" t="s">
        <v>48</v>
      </c>
      <c r="F470" s="23" t="s">
        <v>49</v>
      </c>
      <c r="G470" s="374"/>
      <c r="H470" s="133"/>
      <c r="I470" s="156"/>
      <c r="J470" s="133"/>
      <c r="K470" s="330"/>
      <c r="L470" s="330"/>
      <c r="M470" s="24"/>
      <c r="N470" s="330"/>
      <c r="O470" s="367"/>
      <c r="P470" s="330"/>
      <c r="Q470" s="330"/>
      <c r="R470" s="330"/>
      <c r="S470" s="330"/>
      <c r="T470" s="330"/>
      <c r="U470" s="330"/>
      <c r="V470" s="330"/>
      <c r="W470" s="330"/>
      <c r="X470" s="330"/>
      <c r="Y470" s="330"/>
      <c r="Z470" s="330"/>
      <c r="AA470" s="330"/>
      <c r="AB470" s="330"/>
      <c r="AC470" s="330"/>
      <c r="AD470" s="330"/>
      <c r="AE470" s="330"/>
      <c r="AF470" s="330"/>
      <c r="AG470" s="330"/>
      <c r="AH470" s="330"/>
      <c r="AI470" s="330"/>
      <c r="AJ470" s="330"/>
      <c r="AK470" s="330"/>
      <c r="AL470" s="330"/>
      <c r="AM470" s="330"/>
    </row>
    <row r="471" spans="1:39" ht="18" customHeight="1" x14ac:dyDescent="0.3">
      <c r="A471" s="431">
        <v>231</v>
      </c>
      <c r="B471" s="422" t="s">
        <v>845</v>
      </c>
      <c r="C471" s="133"/>
      <c r="D471" s="156"/>
      <c r="E471" s="31" t="s">
        <v>144</v>
      </c>
      <c r="F471" s="23" t="s">
        <v>49</v>
      </c>
      <c r="G471" s="374"/>
      <c r="H471" s="133"/>
      <c r="I471" s="156"/>
      <c r="J471" s="133"/>
      <c r="K471" s="330"/>
      <c r="L471" s="330"/>
      <c r="M471" s="24"/>
      <c r="N471" s="330"/>
      <c r="O471" s="367"/>
      <c r="P471" s="330"/>
      <c r="Q471" s="330"/>
      <c r="R471" s="330"/>
      <c r="S471" s="330"/>
      <c r="T471" s="330"/>
      <c r="U471" s="330"/>
      <c r="V471" s="330"/>
      <c r="W471" s="330"/>
      <c r="X471" s="330"/>
      <c r="Y471" s="330"/>
      <c r="Z471" s="330"/>
      <c r="AA471" s="330"/>
      <c r="AB471" s="330"/>
      <c r="AC471" s="330"/>
      <c r="AD471" s="330"/>
      <c r="AE471" s="330"/>
      <c r="AF471" s="330"/>
      <c r="AG471" s="330"/>
      <c r="AH471" s="330"/>
      <c r="AI471" s="330"/>
      <c r="AJ471" s="330"/>
      <c r="AK471" s="330"/>
      <c r="AL471" s="330"/>
      <c r="AM471" s="330"/>
    </row>
    <row r="472" spans="1:39" ht="18" customHeight="1" x14ac:dyDescent="0.3">
      <c r="A472" s="432"/>
      <c r="B472" s="423"/>
      <c r="C472" s="133"/>
      <c r="D472" s="156"/>
      <c r="E472" s="31" t="s">
        <v>48</v>
      </c>
      <c r="F472" s="23" t="s">
        <v>49</v>
      </c>
      <c r="G472" s="374"/>
      <c r="H472" s="133"/>
      <c r="I472" s="156"/>
      <c r="J472" s="133"/>
      <c r="K472" s="330"/>
      <c r="L472" s="330"/>
      <c r="M472" s="24"/>
      <c r="N472" s="330"/>
      <c r="O472" s="367"/>
      <c r="P472" s="330"/>
      <c r="Q472" s="330"/>
      <c r="R472" s="330"/>
      <c r="S472" s="330"/>
      <c r="T472" s="330"/>
      <c r="U472" s="330"/>
      <c r="V472" s="330"/>
      <c r="W472" s="330"/>
      <c r="X472" s="330"/>
      <c r="Y472" s="330"/>
      <c r="Z472" s="330"/>
      <c r="AA472" s="330"/>
      <c r="AB472" s="330"/>
      <c r="AC472" s="330"/>
      <c r="AD472" s="330"/>
      <c r="AE472" s="330"/>
      <c r="AF472" s="330"/>
      <c r="AG472" s="330"/>
      <c r="AH472" s="330"/>
      <c r="AI472" s="330"/>
      <c r="AJ472" s="330"/>
      <c r="AK472" s="330"/>
      <c r="AL472" s="330"/>
      <c r="AM472" s="330"/>
    </row>
    <row r="473" spans="1:39" ht="18" customHeight="1" x14ac:dyDescent="0.3">
      <c r="A473" s="431">
        <v>232</v>
      </c>
      <c r="B473" s="422" t="s">
        <v>846</v>
      </c>
      <c r="C473" s="133"/>
      <c r="D473" s="156"/>
      <c r="E473" s="31" t="s">
        <v>144</v>
      </c>
      <c r="F473" s="23" t="s">
        <v>49</v>
      </c>
      <c r="G473" s="374"/>
      <c r="H473" s="133"/>
      <c r="I473" s="156"/>
      <c r="J473" s="133"/>
      <c r="K473" s="330"/>
      <c r="L473" s="330"/>
      <c r="M473" s="24"/>
      <c r="N473" s="330"/>
      <c r="O473" s="367"/>
      <c r="P473" s="330"/>
      <c r="Q473" s="330"/>
      <c r="R473" s="330"/>
      <c r="S473" s="330"/>
      <c r="T473" s="330"/>
      <c r="U473" s="330"/>
      <c r="V473" s="330"/>
      <c r="W473" s="330"/>
      <c r="X473" s="330"/>
      <c r="Y473" s="330"/>
      <c r="Z473" s="330"/>
      <c r="AA473" s="330"/>
      <c r="AB473" s="330"/>
      <c r="AC473" s="330"/>
      <c r="AD473" s="330"/>
      <c r="AE473" s="330"/>
      <c r="AF473" s="330"/>
      <c r="AG473" s="330"/>
      <c r="AH473" s="330"/>
      <c r="AI473" s="330"/>
      <c r="AJ473" s="330"/>
      <c r="AK473" s="330"/>
      <c r="AL473" s="330"/>
      <c r="AM473" s="330"/>
    </row>
    <row r="474" spans="1:39" ht="18" customHeight="1" x14ac:dyDescent="0.3">
      <c r="A474" s="432"/>
      <c r="B474" s="423"/>
      <c r="C474" s="133"/>
      <c r="D474" s="156"/>
      <c r="E474" s="31" t="s">
        <v>48</v>
      </c>
      <c r="F474" s="23" t="s">
        <v>49</v>
      </c>
      <c r="G474" s="374"/>
      <c r="H474" s="133"/>
      <c r="I474" s="156"/>
      <c r="J474" s="133"/>
      <c r="K474" s="330"/>
      <c r="L474" s="330"/>
      <c r="M474" s="24"/>
      <c r="N474" s="330"/>
      <c r="O474" s="367"/>
      <c r="P474" s="330"/>
      <c r="Q474" s="330"/>
      <c r="R474" s="330"/>
      <c r="S474" s="330"/>
      <c r="T474" s="330"/>
      <c r="U474" s="330"/>
      <c r="V474" s="330"/>
      <c r="W474" s="330"/>
      <c r="X474" s="330"/>
      <c r="Y474" s="330"/>
      <c r="Z474" s="330"/>
      <c r="AA474" s="330"/>
      <c r="AB474" s="330"/>
      <c r="AC474" s="330"/>
      <c r="AD474" s="330"/>
      <c r="AE474" s="330"/>
      <c r="AF474" s="330"/>
      <c r="AG474" s="330"/>
      <c r="AH474" s="330"/>
      <c r="AI474" s="330"/>
      <c r="AJ474" s="330"/>
      <c r="AK474" s="330"/>
      <c r="AL474" s="330"/>
      <c r="AM474" s="330"/>
    </row>
    <row r="475" spans="1:39" ht="18" customHeight="1" x14ac:dyDescent="0.3">
      <c r="A475" s="431">
        <v>233</v>
      </c>
      <c r="B475" s="422" t="s">
        <v>847</v>
      </c>
      <c r="C475" s="133"/>
      <c r="D475" s="156"/>
      <c r="E475" s="31" t="s">
        <v>144</v>
      </c>
      <c r="F475" s="23" t="s">
        <v>49</v>
      </c>
      <c r="G475" s="374"/>
      <c r="H475" s="133"/>
      <c r="I475" s="156"/>
      <c r="J475" s="133"/>
      <c r="K475" s="330"/>
      <c r="L475" s="330"/>
      <c r="M475" s="24"/>
      <c r="N475" s="330"/>
      <c r="O475" s="367"/>
      <c r="P475" s="330"/>
      <c r="Q475" s="330"/>
      <c r="R475" s="330"/>
      <c r="S475" s="330"/>
      <c r="T475" s="330"/>
      <c r="U475" s="330"/>
      <c r="V475" s="330"/>
      <c r="W475" s="330"/>
      <c r="X475" s="330"/>
      <c r="Y475" s="330"/>
      <c r="Z475" s="330"/>
      <c r="AA475" s="330"/>
      <c r="AB475" s="330"/>
      <c r="AC475" s="330"/>
      <c r="AD475" s="330"/>
      <c r="AE475" s="330"/>
      <c r="AF475" s="330"/>
      <c r="AG475" s="330"/>
      <c r="AH475" s="330"/>
      <c r="AI475" s="330"/>
      <c r="AJ475" s="330"/>
      <c r="AK475" s="330"/>
      <c r="AL475" s="330"/>
      <c r="AM475" s="330"/>
    </row>
    <row r="476" spans="1:39" ht="18" customHeight="1" x14ac:dyDescent="0.3">
      <c r="A476" s="432"/>
      <c r="B476" s="423"/>
      <c r="C476" s="133"/>
      <c r="D476" s="156"/>
      <c r="E476" s="31" t="s">
        <v>48</v>
      </c>
      <c r="F476" s="23" t="s">
        <v>49</v>
      </c>
      <c r="G476" s="374"/>
      <c r="H476" s="133"/>
      <c r="I476" s="156"/>
      <c r="J476" s="133"/>
      <c r="K476" s="330"/>
      <c r="L476" s="330"/>
      <c r="M476" s="24"/>
      <c r="N476" s="330"/>
      <c r="O476" s="367"/>
      <c r="P476" s="330"/>
      <c r="Q476" s="330"/>
      <c r="R476" s="330"/>
      <c r="S476" s="330"/>
      <c r="T476" s="330"/>
      <c r="U476" s="330"/>
      <c r="V476" s="330"/>
      <c r="W476" s="330"/>
      <c r="X476" s="330"/>
      <c r="Y476" s="330"/>
      <c r="Z476" s="330"/>
      <c r="AA476" s="330"/>
      <c r="AB476" s="330"/>
      <c r="AC476" s="330"/>
      <c r="AD476" s="330"/>
      <c r="AE476" s="330"/>
      <c r="AF476" s="330"/>
      <c r="AG476" s="330"/>
      <c r="AH476" s="330"/>
      <c r="AI476" s="330"/>
      <c r="AJ476" s="330"/>
      <c r="AK476" s="330"/>
      <c r="AL476" s="330"/>
      <c r="AM476" s="330"/>
    </row>
    <row r="477" spans="1:39" ht="18" customHeight="1" x14ac:dyDescent="0.3">
      <c r="A477" s="431">
        <v>234</v>
      </c>
      <c r="B477" s="422" t="s">
        <v>848</v>
      </c>
      <c r="C477" s="133"/>
      <c r="D477" s="156"/>
      <c r="E477" s="31" t="s">
        <v>144</v>
      </c>
      <c r="F477" s="23" t="s">
        <v>49</v>
      </c>
      <c r="G477" s="374"/>
      <c r="H477" s="133"/>
      <c r="I477" s="156"/>
      <c r="J477" s="133"/>
      <c r="K477" s="330"/>
      <c r="L477" s="330"/>
      <c r="M477" s="24"/>
      <c r="N477" s="330"/>
      <c r="O477" s="367"/>
      <c r="P477" s="330"/>
      <c r="Q477" s="330"/>
      <c r="R477" s="330"/>
      <c r="S477" s="330"/>
      <c r="T477" s="330"/>
      <c r="U477" s="330"/>
      <c r="V477" s="330"/>
      <c r="W477" s="330"/>
      <c r="X477" s="330"/>
      <c r="Y477" s="330"/>
      <c r="Z477" s="330"/>
      <c r="AA477" s="330"/>
      <c r="AB477" s="330"/>
      <c r="AC477" s="330"/>
      <c r="AD477" s="330"/>
      <c r="AE477" s="330"/>
      <c r="AF477" s="330"/>
      <c r="AG477" s="330"/>
      <c r="AH477" s="330"/>
      <c r="AI477" s="330"/>
      <c r="AJ477" s="330"/>
      <c r="AK477" s="330"/>
      <c r="AL477" s="330"/>
      <c r="AM477" s="330"/>
    </row>
    <row r="478" spans="1:39" ht="18" customHeight="1" x14ac:dyDescent="0.3">
      <c r="A478" s="432"/>
      <c r="B478" s="423"/>
      <c r="C478" s="133"/>
      <c r="D478" s="156"/>
      <c r="E478" s="31" t="s">
        <v>48</v>
      </c>
      <c r="F478" s="23" t="s">
        <v>49</v>
      </c>
      <c r="G478" s="374"/>
      <c r="H478" s="133"/>
      <c r="I478" s="156"/>
      <c r="J478" s="133"/>
      <c r="K478" s="330"/>
      <c r="L478" s="330"/>
      <c r="M478" s="24"/>
      <c r="N478" s="330"/>
      <c r="O478" s="367"/>
      <c r="P478" s="330"/>
      <c r="Q478" s="330"/>
      <c r="R478" s="330"/>
      <c r="S478" s="330"/>
      <c r="T478" s="330"/>
      <c r="U478" s="330"/>
      <c r="V478" s="330"/>
      <c r="W478" s="330"/>
      <c r="X478" s="330"/>
      <c r="Y478" s="330"/>
      <c r="Z478" s="330"/>
      <c r="AA478" s="330"/>
      <c r="AB478" s="330"/>
      <c r="AC478" s="330"/>
      <c r="AD478" s="330"/>
      <c r="AE478" s="330"/>
      <c r="AF478" s="330"/>
      <c r="AG478" s="330"/>
      <c r="AH478" s="330"/>
      <c r="AI478" s="330"/>
      <c r="AJ478" s="330"/>
      <c r="AK478" s="330"/>
      <c r="AL478" s="330"/>
      <c r="AM478" s="330"/>
    </row>
    <row r="479" spans="1:39" ht="18" customHeight="1" x14ac:dyDescent="0.3">
      <c r="A479" s="431">
        <v>235</v>
      </c>
      <c r="B479" s="422" t="s">
        <v>849</v>
      </c>
      <c r="C479" s="133"/>
      <c r="D479" s="156"/>
      <c r="E479" s="31" t="s">
        <v>144</v>
      </c>
      <c r="F479" s="23" t="s">
        <v>49</v>
      </c>
      <c r="G479" s="374"/>
      <c r="H479" s="133"/>
      <c r="I479" s="156"/>
      <c r="J479" s="133"/>
      <c r="K479" s="330"/>
      <c r="L479" s="330"/>
      <c r="M479" s="24"/>
      <c r="N479" s="330"/>
      <c r="O479" s="367"/>
      <c r="P479" s="330"/>
      <c r="Q479" s="330"/>
      <c r="R479" s="330"/>
      <c r="S479" s="330"/>
      <c r="T479" s="330"/>
      <c r="U479" s="330"/>
      <c r="V479" s="330"/>
      <c r="W479" s="330"/>
      <c r="X479" s="330"/>
      <c r="Y479" s="330"/>
      <c r="Z479" s="330"/>
      <c r="AA479" s="330"/>
      <c r="AB479" s="330"/>
      <c r="AC479" s="330"/>
      <c r="AD479" s="330"/>
      <c r="AE479" s="330"/>
      <c r="AF479" s="330"/>
      <c r="AG479" s="330"/>
      <c r="AH479" s="330"/>
      <c r="AI479" s="330"/>
      <c r="AJ479" s="330"/>
      <c r="AK479" s="330"/>
      <c r="AL479" s="330"/>
      <c r="AM479" s="330"/>
    </row>
    <row r="480" spans="1:39" ht="18" customHeight="1" x14ac:dyDescent="0.3">
      <c r="A480" s="432"/>
      <c r="B480" s="423"/>
      <c r="C480" s="133"/>
      <c r="D480" s="156"/>
      <c r="E480" s="31" t="s">
        <v>48</v>
      </c>
      <c r="F480" s="23" t="s">
        <v>49</v>
      </c>
      <c r="G480" s="374"/>
      <c r="H480" s="133"/>
      <c r="I480" s="156"/>
      <c r="J480" s="133"/>
      <c r="K480" s="330"/>
      <c r="L480" s="330"/>
      <c r="M480" s="24"/>
      <c r="N480" s="330"/>
      <c r="O480" s="367"/>
      <c r="P480" s="330"/>
      <c r="Q480" s="330"/>
      <c r="R480" s="330"/>
      <c r="S480" s="330"/>
      <c r="T480" s="330"/>
      <c r="U480" s="330"/>
      <c r="V480" s="330"/>
      <c r="W480" s="330"/>
      <c r="X480" s="330"/>
      <c r="Y480" s="330"/>
      <c r="Z480" s="330"/>
      <c r="AA480" s="330"/>
      <c r="AB480" s="330"/>
      <c r="AC480" s="330"/>
      <c r="AD480" s="330"/>
      <c r="AE480" s="330"/>
      <c r="AF480" s="330"/>
      <c r="AG480" s="330"/>
      <c r="AH480" s="330"/>
      <c r="AI480" s="330"/>
      <c r="AJ480" s="330"/>
      <c r="AK480" s="330"/>
      <c r="AL480" s="330"/>
      <c r="AM480" s="330"/>
    </row>
    <row r="481" spans="1:39" ht="18" customHeight="1" x14ac:dyDescent="0.3">
      <c r="A481" s="431">
        <v>236</v>
      </c>
      <c r="B481" s="422" t="s">
        <v>850</v>
      </c>
      <c r="C481" s="133"/>
      <c r="D481" s="156"/>
      <c r="E481" s="31" t="s">
        <v>144</v>
      </c>
      <c r="F481" s="23" t="s">
        <v>49</v>
      </c>
      <c r="G481" s="374"/>
      <c r="H481" s="133"/>
      <c r="I481" s="156"/>
      <c r="J481" s="133"/>
      <c r="K481" s="330"/>
      <c r="L481" s="330"/>
      <c r="M481" s="24"/>
      <c r="N481" s="330"/>
      <c r="O481" s="367"/>
      <c r="P481" s="330"/>
      <c r="Q481" s="330"/>
      <c r="R481" s="330"/>
      <c r="S481" s="330"/>
      <c r="T481" s="330"/>
      <c r="U481" s="330"/>
      <c r="V481" s="330"/>
      <c r="W481" s="330"/>
      <c r="X481" s="330"/>
      <c r="Y481" s="330"/>
      <c r="Z481" s="330"/>
      <c r="AA481" s="330"/>
      <c r="AB481" s="330"/>
      <c r="AC481" s="330"/>
      <c r="AD481" s="330"/>
      <c r="AE481" s="330"/>
      <c r="AF481" s="330"/>
      <c r="AG481" s="330"/>
      <c r="AH481" s="330"/>
      <c r="AI481" s="330"/>
      <c r="AJ481" s="330"/>
      <c r="AK481" s="330"/>
      <c r="AL481" s="330"/>
      <c r="AM481" s="330"/>
    </row>
    <row r="482" spans="1:39" ht="18" customHeight="1" x14ac:dyDescent="0.3">
      <c r="A482" s="432"/>
      <c r="B482" s="423"/>
      <c r="C482" s="133"/>
      <c r="D482" s="156"/>
      <c r="E482" s="31" t="s">
        <v>48</v>
      </c>
      <c r="F482" s="23" t="s">
        <v>49</v>
      </c>
      <c r="G482" s="374"/>
      <c r="H482" s="133"/>
      <c r="I482" s="156"/>
      <c r="J482" s="133"/>
      <c r="K482" s="330"/>
      <c r="L482" s="330"/>
      <c r="M482" s="24"/>
      <c r="N482" s="330"/>
      <c r="O482" s="367"/>
      <c r="P482" s="330"/>
      <c r="Q482" s="330"/>
      <c r="R482" s="330"/>
      <c r="S482" s="330"/>
      <c r="T482" s="330"/>
      <c r="U482" s="330"/>
      <c r="V482" s="330"/>
      <c r="W482" s="330"/>
      <c r="X482" s="330"/>
      <c r="Y482" s="330"/>
      <c r="Z482" s="330"/>
      <c r="AA482" s="330"/>
      <c r="AB482" s="330"/>
      <c r="AC482" s="330"/>
      <c r="AD482" s="330"/>
      <c r="AE482" s="330"/>
      <c r="AF482" s="330"/>
      <c r="AG482" s="330"/>
      <c r="AH482" s="330"/>
      <c r="AI482" s="330"/>
      <c r="AJ482" s="330"/>
      <c r="AK482" s="330"/>
      <c r="AL482" s="330"/>
      <c r="AM482" s="330"/>
    </row>
    <row r="483" spans="1:39" ht="18" customHeight="1" x14ac:dyDescent="0.3">
      <c r="A483" s="431">
        <v>237</v>
      </c>
      <c r="B483" s="422" t="s">
        <v>851</v>
      </c>
      <c r="C483" s="133"/>
      <c r="D483" s="156"/>
      <c r="E483" s="31" t="s">
        <v>144</v>
      </c>
      <c r="F483" s="23" t="s">
        <v>49</v>
      </c>
      <c r="G483" s="374"/>
      <c r="H483" s="133"/>
      <c r="I483" s="156"/>
      <c r="J483" s="133"/>
      <c r="K483" s="330"/>
      <c r="L483" s="330"/>
      <c r="M483" s="24"/>
      <c r="N483" s="330"/>
      <c r="O483" s="367"/>
      <c r="P483" s="330"/>
      <c r="Q483" s="330"/>
      <c r="R483" s="330"/>
      <c r="S483" s="330"/>
      <c r="T483" s="330"/>
      <c r="U483" s="330"/>
      <c r="V483" s="330"/>
      <c r="W483" s="330"/>
      <c r="X483" s="330"/>
      <c r="Y483" s="330"/>
      <c r="Z483" s="330"/>
      <c r="AA483" s="330"/>
      <c r="AB483" s="330"/>
      <c r="AC483" s="330"/>
      <c r="AD483" s="330"/>
      <c r="AE483" s="330"/>
      <c r="AF483" s="330"/>
      <c r="AG483" s="330"/>
      <c r="AH483" s="330"/>
      <c r="AI483" s="330"/>
      <c r="AJ483" s="330"/>
      <c r="AK483" s="330"/>
      <c r="AL483" s="330"/>
      <c r="AM483" s="330"/>
    </row>
    <row r="484" spans="1:39" ht="18" customHeight="1" x14ac:dyDescent="0.3">
      <c r="A484" s="432"/>
      <c r="B484" s="423"/>
      <c r="C484" s="133"/>
      <c r="D484" s="156"/>
      <c r="E484" s="31" t="s">
        <v>48</v>
      </c>
      <c r="F484" s="23" t="s">
        <v>49</v>
      </c>
      <c r="G484" s="374"/>
      <c r="H484" s="133"/>
      <c r="I484" s="156"/>
      <c r="J484" s="133"/>
      <c r="K484" s="330"/>
      <c r="L484" s="330"/>
      <c r="M484" s="24"/>
      <c r="N484" s="330"/>
      <c r="O484" s="367"/>
      <c r="P484" s="330"/>
      <c r="Q484" s="330"/>
      <c r="R484" s="330"/>
      <c r="S484" s="330"/>
      <c r="T484" s="330"/>
      <c r="U484" s="330"/>
      <c r="V484" s="330"/>
      <c r="W484" s="330"/>
      <c r="X484" s="330"/>
      <c r="Y484" s="330"/>
      <c r="Z484" s="330"/>
      <c r="AA484" s="330"/>
      <c r="AB484" s="330"/>
      <c r="AC484" s="330"/>
      <c r="AD484" s="330"/>
      <c r="AE484" s="330"/>
      <c r="AF484" s="330"/>
      <c r="AG484" s="330"/>
      <c r="AH484" s="330"/>
      <c r="AI484" s="330"/>
      <c r="AJ484" s="330"/>
      <c r="AK484" s="330"/>
      <c r="AL484" s="330"/>
      <c r="AM484" s="330"/>
    </row>
    <row r="485" spans="1:39" ht="18" customHeight="1" x14ac:dyDescent="0.3">
      <c r="A485" s="431">
        <v>238</v>
      </c>
      <c r="B485" s="422" t="s">
        <v>852</v>
      </c>
      <c r="C485" s="133"/>
      <c r="D485" s="156"/>
      <c r="E485" s="31" t="s">
        <v>144</v>
      </c>
      <c r="F485" s="23" t="s">
        <v>49</v>
      </c>
      <c r="G485" s="374"/>
      <c r="H485" s="133"/>
      <c r="I485" s="156"/>
      <c r="J485" s="133"/>
      <c r="K485" s="330"/>
      <c r="L485" s="330"/>
      <c r="M485" s="24"/>
      <c r="N485" s="330"/>
      <c r="O485" s="367"/>
      <c r="P485" s="330"/>
      <c r="Q485" s="330"/>
      <c r="R485" s="330"/>
      <c r="S485" s="330"/>
      <c r="T485" s="330"/>
      <c r="U485" s="330"/>
      <c r="V485" s="330"/>
      <c r="W485" s="330"/>
      <c r="X485" s="330"/>
      <c r="Y485" s="330"/>
      <c r="Z485" s="330"/>
      <c r="AA485" s="330"/>
      <c r="AB485" s="330"/>
      <c r="AC485" s="330"/>
      <c r="AD485" s="330"/>
      <c r="AE485" s="330"/>
      <c r="AF485" s="330"/>
      <c r="AG485" s="330"/>
      <c r="AH485" s="330"/>
      <c r="AI485" s="330"/>
      <c r="AJ485" s="330"/>
      <c r="AK485" s="330"/>
      <c r="AL485" s="330"/>
      <c r="AM485" s="330"/>
    </row>
    <row r="486" spans="1:39" ht="18" customHeight="1" x14ac:dyDescent="0.3">
      <c r="A486" s="432"/>
      <c r="B486" s="423"/>
      <c r="C486" s="133"/>
      <c r="D486" s="156"/>
      <c r="E486" s="31" t="s">
        <v>48</v>
      </c>
      <c r="F486" s="23" t="s">
        <v>49</v>
      </c>
      <c r="G486" s="374"/>
      <c r="H486" s="133"/>
      <c r="I486" s="156"/>
      <c r="J486" s="133"/>
      <c r="K486" s="330"/>
      <c r="L486" s="330"/>
      <c r="M486" s="24"/>
      <c r="N486" s="330"/>
      <c r="O486" s="367"/>
      <c r="P486" s="330"/>
      <c r="Q486" s="330"/>
      <c r="R486" s="330"/>
      <c r="S486" s="330"/>
      <c r="T486" s="330"/>
      <c r="U486" s="330"/>
      <c r="V486" s="330"/>
      <c r="W486" s="330"/>
      <c r="X486" s="330"/>
      <c r="Y486" s="330"/>
      <c r="Z486" s="330"/>
      <c r="AA486" s="330"/>
      <c r="AB486" s="330"/>
      <c r="AC486" s="330"/>
      <c r="AD486" s="330"/>
      <c r="AE486" s="330"/>
      <c r="AF486" s="330"/>
      <c r="AG486" s="330"/>
      <c r="AH486" s="330"/>
      <c r="AI486" s="330"/>
      <c r="AJ486" s="330"/>
      <c r="AK486" s="330"/>
      <c r="AL486" s="330"/>
      <c r="AM486" s="330"/>
    </row>
    <row r="487" spans="1:39" ht="18" customHeight="1" x14ac:dyDescent="0.3">
      <c r="A487" s="431">
        <v>239</v>
      </c>
      <c r="B487" s="422" t="s">
        <v>853</v>
      </c>
      <c r="C487" s="133"/>
      <c r="D487" s="156"/>
      <c r="E487" s="31" t="s">
        <v>144</v>
      </c>
      <c r="F487" s="23" t="s">
        <v>49</v>
      </c>
      <c r="G487" s="374"/>
      <c r="H487" s="133"/>
      <c r="I487" s="156"/>
      <c r="J487" s="133"/>
      <c r="K487" s="330"/>
      <c r="L487" s="330"/>
      <c r="M487" s="24"/>
      <c r="N487" s="330"/>
      <c r="O487" s="367"/>
      <c r="P487" s="330"/>
      <c r="Q487" s="330"/>
      <c r="R487" s="330"/>
      <c r="S487" s="330"/>
      <c r="T487" s="330"/>
      <c r="U487" s="330"/>
      <c r="V487" s="330"/>
      <c r="W487" s="330"/>
      <c r="X487" s="330"/>
      <c r="Y487" s="330"/>
      <c r="Z487" s="330"/>
      <c r="AA487" s="330"/>
      <c r="AB487" s="330"/>
      <c r="AC487" s="330"/>
      <c r="AD487" s="330"/>
      <c r="AE487" s="330"/>
      <c r="AF487" s="330"/>
      <c r="AG487" s="330"/>
      <c r="AH487" s="330"/>
      <c r="AI487" s="330"/>
      <c r="AJ487" s="330"/>
      <c r="AK487" s="330"/>
      <c r="AL487" s="330"/>
      <c r="AM487" s="330"/>
    </row>
    <row r="488" spans="1:39" ht="18" customHeight="1" x14ac:dyDescent="0.3">
      <c r="A488" s="432"/>
      <c r="B488" s="423"/>
      <c r="C488" s="133"/>
      <c r="D488" s="156"/>
      <c r="E488" s="31" t="s">
        <v>48</v>
      </c>
      <c r="F488" s="23" t="s">
        <v>49</v>
      </c>
      <c r="G488" s="374"/>
      <c r="H488" s="133"/>
      <c r="I488" s="156"/>
      <c r="J488" s="133"/>
      <c r="K488" s="330"/>
      <c r="L488" s="330"/>
      <c r="M488" s="24"/>
      <c r="N488" s="330"/>
      <c r="O488" s="367"/>
      <c r="P488" s="330"/>
      <c r="Q488" s="330"/>
      <c r="R488" s="330"/>
      <c r="S488" s="330"/>
      <c r="T488" s="330"/>
      <c r="U488" s="330"/>
      <c r="V488" s="330"/>
      <c r="W488" s="330"/>
      <c r="X488" s="330"/>
      <c r="Y488" s="330"/>
      <c r="Z488" s="330"/>
      <c r="AA488" s="330"/>
      <c r="AB488" s="330"/>
      <c r="AC488" s="330"/>
      <c r="AD488" s="330"/>
      <c r="AE488" s="330"/>
      <c r="AF488" s="330"/>
      <c r="AG488" s="330"/>
      <c r="AH488" s="330"/>
      <c r="AI488" s="330"/>
      <c r="AJ488" s="330"/>
      <c r="AK488" s="330"/>
      <c r="AL488" s="330"/>
      <c r="AM488" s="330"/>
    </row>
    <row r="489" spans="1:39" ht="18" customHeight="1" x14ac:dyDescent="0.3">
      <c r="A489" s="431">
        <v>240</v>
      </c>
      <c r="B489" s="422" t="s">
        <v>854</v>
      </c>
      <c r="C489" s="133"/>
      <c r="D489" s="156"/>
      <c r="E489" s="31" t="s">
        <v>144</v>
      </c>
      <c r="F489" s="23" t="s">
        <v>49</v>
      </c>
      <c r="G489" s="374"/>
      <c r="H489" s="133"/>
      <c r="I489" s="156"/>
      <c r="J489" s="133"/>
      <c r="K489" s="330"/>
      <c r="L489" s="330"/>
      <c r="M489" s="24"/>
      <c r="N489" s="330"/>
      <c r="O489" s="367"/>
      <c r="P489" s="330"/>
      <c r="Q489" s="330"/>
      <c r="R489" s="330"/>
      <c r="S489" s="330"/>
      <c r="T489" s="330"/>
      <c r="U489" s="330"/>
      <c r="V489" s="330"/>
      <c r="W489" s="330"/>
      <c r="X489" s="330"/>
      <c r="Y489" s="330"/>
      <c r="Z489" s="330"/>
      <c r="AA489" s="330"/>
      <c r="AB489" s="330"/>
      <c r="AC489" s="330"/>
      <c r="AD489" s="330"/>
      <c r="AE489" s="330"/>
      <c r="AF489" s="330"/>
      <c r="AG489" s="330"/>
      <c r="AH489" s="330"/>
      <c r="AI489" s="330"/>
      <c r="AJ489" s="330"/>
      <c r="AK489" s="330"/>
      <c r="AL489" s="330"/>
      <c r="AM489" s="330"/>
    </row>
    <row r="490" spans="1:39" ht="18" customHeight="1" x14ac:dyDescent="0.3">
      <c r="A490" s="432"/>
      <c r="B490" s="423"/>
      <c r="C490" s="133"/>
      <c r="D490" s="156"/>
      <c r="E490" s="31" t="s">
        <v>48</v>
      </c>
      <c r="F490" s="23" t="s">
        <v>49</v>
      </c>
      <c r="G490" s="374"/>
      <c r="H490" s="133"/>
      <c r="I490" s="156"/>
      <c r="J490" s="133"/>
      <c r="K490" s="330"/>
      <c r="L490" s="330"/>
      <c r="M490" s="24"/>
      <c r="N490" s="330"/>
      <c r="O490" s="367"/>
      <c r="P490" s="330"/>
      <c r="Q490" s="330"/>
      <c r="R490" s="330"/>
      <c r="S490" s="330"/>
      <c r="T490" s="330"/>
      <c r="U490" s="330"/>
      <c r="V490" s="330"/>
      <c r="W490" s="330"/>
      <c r="X490" s="330"/>
      <c r="Y490" s="330"/>
      <c r="Z490" s="330"/>
      <c r="AA490" s="330"/>
      <c r="AB490" s="330"/>
      <c r="AC490" s="330"/>
      <c r="AD490" s="330"/>
      <c r="AE490" s="330"/>
      <c r="AF490" s="330"/>
      <c r="AG490" s="330"/>
      <c r="AH490" s="330"/>
      <c r="AI490" s="330"/>
      <c r="AJ490" s="330"/>
      <c r="AK490" s="330"/>
      <c r="AL490" s="330"/>
      <c r="AM490" s="330"/>
    </row>
    <row r="491" spans="1:39" ht="18" customHeight="1" x14ac:dyDescent="0.3">
      <c r="A491" s="431">
        <v>241</v>
      </c>
      <c r="B491" s="422" t="s">
        <v>855</v>
      </c>
      <c r="C491" s="133"/>
      <c r="D491" s="156"/>
      <c r="E491" s="31" t="s">
        <v>144</v>
      </c>
      <c r="F491" s="23" t="s">
        <v>49</v>
      </c>
      <c r="G491" s="374"/>
      <c r="H491" s="133"/>
      <c r="I491" s="156"/>
      <c r="J491" s="133"/>
      <c r="K491" s="330"/>
      <c r="L491" s="330"/>
      <c r="M491" s="24"/>
      <c r="N491" s="330"/>
      <c r="O491" s="367"/>
      <c r="P491" s="330"/>
      <c r="Q491" s="330"/>
      <c r="R491" s="330"/>
      <c r="S491" s="330"/>
      <c r="T491" s="330"/>
      <c r="U491" s="330"/>
      <c r="V491" s="330"/>
      <c r="W491" s="330"/>
      <c r="X491" s="330"/>
      <c r="Y491" s="330"/>
      <c r="Z491" s="330"/>
      <c r="AA491" s="330"/>
      <c r="AB491" s="330"/>
      <c r="AC491" s="330"/>
      <c r="AD491" s="330"/>
      <c r="AE491" s="330"/>
      <c r="AF491" s="330"/>
      <c r="AG491" s="330"/>
      <c r="AH491" s="330"/>
      <c r="AI491" s="330"/>
      <c r="AJ491" s="330"/>
      <c r="AK491" s="330"/>
      <c r="AL491" s="330"/>
      <c r="AM491" s="330"/>
    </row>
    <row r="492" spans="1:39" ht="18" customHeight="1" x14ac:dyDescent="0.3">
      <c r="A492" s="432"/>
      <c r="B492" s="423"/>
      <c r="C492" s="133"/>
      <c r="D492" s="156"/>
      <c r="E492" s="31" t="s">
        <v>48</v>
      </c>
      <c r="F492" s="23" t="s">
        <v>49</v>
      </c>
      <c r="G492" s="374"/>
      <c r="H492" s="133"/>
      <c r="I492" s="156"/>
      <c r="J492" s="133"/>
      <c r="K492" s="330"/>
      <c r="L492" s="330"/>
      <c r="M492" s="24"/>
      <c r="N492" s="330"/>
      <c r="O492" s="367"/>
      <c r="P492" s="330"/>
      <c r="Q492" s="330"/>
      <c r="R492" s="330"/>
      <c r="S492" s="330"/>
      <c r="T492" s="330"/>
      <c r="U492" s="330"/>
      <c r="V492" s="330"/>
      <c r="W492" s="330"/>
      <c r="X492" s="330"/>
      <c r="Y492" s="330"/>
      <c r="Z492" s="330"/>
      <c r="AA492" s="330"/>
      <c r="AB492" s="330"/>
      <c r="AC492" s="330"/>
      <c r="AD492" s="330"/>
      <c r="AE492" s="330"/>
      <c r="AF492" s="330"/>
      <c r="AG492" s="330"/>
      <c r="AH492" s="330"/>
      <c r="AI492" s="330"/>
      <c r="AJ492" s="330"/>
      <c r="AK492" s="330"/>
      <c r="AL492" s="330"/>
      <c r="AM492" s="330"/>
    </row>
    <row r="493" spans="1:39" ht="18" customHeight="1" x14ac:dyDescent="0.3">
      <c r="A493" s="431">
        <v>242</v>
      </c>
      <c r="B493" s="422" t="s">
        <v>856</v>
      </c>
      <c r="C493" s="133"/>
      <c r="D493" s="156"/>
      <c r="E493" s="31" t="s">
        <v>144</v>
      </c>
      <c r="F493" s="23" t="s">
        <v>49</v>
      </c>
      <c r="G493" s="374"/>
      <c r="H493" s="133"/>
      <c r="I493" s="156"/>
      <c r="J493" s="133"/>
      <c r="K493" s="330"/>
      <c r="L493" s="330"/>
      <c r="M493" s="24"/>
      <c r="N493" s="330"/>
      <c r="O493" s="367"/>
      <c r="P493" s="330"/>
      <c r="Q493" s="330"/>
      <c r="R493" s="330"/>
      <c r="S493" s="330"/>
      <c r="T493" s="330"/>
      <c r="U493" s="330"/>
      <c r="V493" s="330"/>
      <c r="W493" s="330"/>
      <c r="X493" s="330"/>
      <c r="Y493" s="330"/>
      <c r="Z493" s="330"/>
      <c r="AA493" s="330"/>
      <c r="AB493" s="330"/>
      <c r="AC493" s="330"/>
      <c r="AD493" s="330"/>
      <c r="AE493" s="330"/>
      <c r="AF493" s="330"/>
      <c r="AG493" s="330"/>
      <c r="AH493" s="330"/>
      <c r="AI493" s="330"/>
      <c r="AJ493" s="330"/>
      <c r="AK493" s="330"/>
      <c r="AL493" s="330"/>
      <c r="AM493" s="330"/>
    </row>
    <row r="494" spans="1:39" ht="18" customHeight="1" x14ac:dyDescent="0.3">
      <c r="A494" s="432"/>
      <c r="B494" s="423"/>
      <c r="C494" s="133"/>
      <c r="D494" s="156"/>
      <c r="E494" s="31" t="s">
        <v>48</v>
      </c>
      <c r="F494" s="23" t="s">
        <v>49</v>
      </c>
      <c r="G494" s="374"/>
      <c r="H494" s="133"/>
      <c r="I494" s="156"/>
      <c r="J494" s="133"/>
      <c r="K494" s="330"/>
      <c r="L494" s="330"/>
      <c r="M494" s="24"/>
      <c r="N494" s="330"/>
      <c r="O494" s="367"/>
      <c r="P494" s="330"/>
      <c r="Q494" s="330"/>
      <c r="R494" s="330"/>
      <c r="S494" s="330"/>
      <c r="T494" s="330"/>
      <c r="U494" s="330"/>
      <c r="V494" s="330"/>
      <c r="W494" s="330"/>
      <c r="X494" s="330"/>
      <c r="Y494" s="330"/>
      <c r="Z494" s="330"/>
      <c r="AA494" s="330"/>
      <c r="AB494" s="330"/>
      <c r="AC494" s="330"/>
      <c r="AD494" s="330"/>
      <c r="AE494" s="330"/>
      <c r="AF494" s="330"/>
      <c r="AG494" s="330"/>
      <c r="AH494" s="330"/>
      <c r="AI494" s="330"/>
      <c r="AJ494" s="330"/>
      <c r="AK494" s="330"/>
      <c r="AL494" s="330"/>
      <c r="AM494" s="330"/>
    </row>
    <row r="495" spans="1:39" ht="18" customHeight="1" x14ac:dyDescent="0.3">
      <c r="A495" s="431">
        <v>243</v>
      </c>
      <c r="B495" s="422" t="s">
        <v>857</v>
      </c>
      <c r="C495" s="133"/>
      <c r="D495" s="156"/>
      <c r="E495" s="31" t="s">
        <v>144</v>
      </c>
      <c r="F495" s="23" t="s">
        <v>49</v>
      </c>
      <c r="G495" s="374"/>
      <c r="H495" s="133"/>
      <c r="I495" s="156"/>
      <c r="J495" s="133"/>
      <c r="K495" s="330"/>
      <c r="L495" s="330"/>
      <c r="M495" s="24"/>
      <c r="N495" s="330"/>
      <c r="O495" s="367"/>
      <c r="P495" s="330"/>
      <c r="Q495" s="330"/>
      <c r="R495" s="330"/>
      <c r="S495" s="330"/>
      <c r="T495" s="330"/>
      <c r="U495" s="330"/>
      <c r="V495" s="330"/>
      <c r="W495" s="330"/>
      <c r="X495" s="330"/>
      <c r="Y495" s="330"/>
      <c r="Z495" s="330"/>
      <c r="AA495" s="330"/>
      <c r="AB495" s="330"/>
      <c r="AC495" s="330"/>
      <c r="AD495" s="330"/>
      <c r="AE495" s="330"/>
      <c r="AF495" s="330"/>
      <c r="AG495" s="330"/>
      <c r="AH495" s="330"/>
      <c r="AI495" s="330"/>
      <c r="AJ495" s="330"/>
      <c r="AK495" s="330"/>
      <c r="AL495" s="330"/>
      <c r="AM495" s="330"/>
    </row>
    <row r="496" spans="1:39" ht="18" customHeight="1" x14ac:dyDescent="0.3">
      <c r="A496" s="432"/>
      <c r="B496" s="423"/>
      <c r="C496" s="133"/>
      <c r="D496" s="156"/>
      <c r="E496" s="31" t="s">
        <v>48</v>
      </c>
      <c r="F496" s="23" t="s">
        <v>49</v>
      </c>
      <c r="G496" s="374"/>
      <c r="H496" s="133"/>
      <c r="I496" s="156"/>
      <c r="J496" s="133"/>
      <c r="K496" s="330"/>
      <c r="L496" s="330"/>
      <c r="M496" s="24"/>
      <c r="N496" s="330"/>
      <c r="O496" s="367"/>
      <c r="P496" s="330"/>
      <c r="Q496" s="330"/>
      <c r="R496" s="330"/>
      <c r="S496" s="330"/>
      <c r="T496" s="330"/>
      <c r="U496" s="330"/>
      <c r="V496" s="330"/>
      <c r="W496" s="330"/>
      <c r="X496" s="330"/>
      <c r="Y496" s="330"/>
      <c r="Z496" s="330"/>
      <c r="AA496" s="330"/>
      <c r="AB496" s="330"/>
      <c r="AC496" s="330"/>
      <c r="AD496" s="330"/>
      <c r="AE496" s="330"/>
      <c r="AF496" s="330"/>
      <c r="AG496" s="330"/>
      <c r="AH496" s="330"/>
      <c r="AI496" s="330"/>
      <c r="AJ496" s="330"/>
      <c r="AK496" s="330"/>
      <c r="AL496" s="330"/>
      <c r="AM496" s="330"/>
    </row>
    <row r="497" spans="1:39" ht="18" customHeight="1" x14ac:dyDescent="0.3">
      <c r="A497" s="431">
        <v>244</v>
      </c>
      <c r="B497" s="422" t="s">
        <v>858</v>
      </c>
      <c r="C497" s="133"/>
      <c r="D497" s="156"/>
      <c r="E497" s="31" t="s">
        <v>144</v>
      </c>
      <c r="F497" s="23" t="s">
        <v>49</v>
      </c>
      <c r="G497" s="374"/>
      <c r="H497" s="133"/>
      <c r="I497" s="156"/>
      <c r="J497" s="133"/>
      <c r="K497" s="330"/>
      <c r="L497" s="330"/>
      <c r="M497" s="24"/>
      <c r="N497" s="330"/>
      <c r="O497" s="367"/>
      <c r="P497" s="330"/>
      <c r="Q497" s="330"/>
      <c r="R497" s="330"/>
      <c r="S497" s="330"/>
      <c r="T497" s="330"/>
      <c r="U497" s="330"/>
      <c r="V497" s="330"/>
      <c r="W497" s="330"/>
      <c r="X497" s="330"/>
      <c r="Y497" s="330"/>
      <c r="Z497" s="330"/>
      <c r="AA497" s="330"/>
      <c r="AB497" s="330"/>
      <c r="AC497" s="330"/>
      <c r="AD497" s="330"/>
      <c r="AE497" s="330"/>
      <c r="AF497" s="330"/>
      <c r="AG497" s="330"/>
      <c r="AH497" s="330"/>
      <c r="AI497" s="330"/>
      <c r="AJ497" s="330"/>
      <c r="AK497" s="330"/>
      <c r="AL497" s="330"/>
      <c r="AM497" s="330"/>
    </row>
    <row r="498" spans="1:39" ht="18" customHeight="1" x14ac:dyDescent="0.3">
      <c r="A498" s="432"/>
      <c r="B498" s="423"/>
      <c r="C498" s="133"/>
      <c r="D498" s="156"/>
      <c r="E498" s="31" t="s">
        <v>48</v>
      </c>
      <c r="F498" s="23" t="s">
        <v>49</v>
      </c>
      <c r="G498" s="374"/>
      <c r="H498" s="133"/>
      <c r="I498" s="156"/>
      <c r="J498" s="133"/>
      <c r="K498" s="330"/>
      <c r="L498" s="330"/>
      <c r="M498" s="24"/>
      <c r="N498" s="330"/>
      <c r="O498" s="367"/>
      <c r="P498" s="330"/>
      <c r="Q498" s="330"/>
      <c r="R498" s="330"/>
      <c r="S498" s="330"/>
      <c r="T498" s="330"/>
      <c r="U498" s="330"/>
      <c r="V498" s="330"/>
      <c r="W498" s="330"/>
      <c r="X498" s="330"/>
      <c r="Y498" s="330"/>
      <c r="Z498" s="330"/>
      <c r="AA498" s="330"/>
      <c r="AB498" s="330"/>
      <c r="AC498" s="330"/>
      <c r="AD498" s="330"/>
      <c r="AE498" s="330"/>
      <c r="AF498" s="330"/>
      <c r="AG498" s="330"/>
      <c r="AH498" s="330"/>
      <c r="AI498" s="330"/>
      <c r="AJ498" s="330"/>
      <c r="AK498" s="330"/>
      <c r="AL498" s="330"/>
      <c r="AM498" s="330"/>
    </row>
    <row r="499" spans="1:39" ht="18" customHeight="1" x14ac:dyDescent="0.3">
      <c r="A499" s="431">
        <v>245</v>
      </c>
      <c r="B499" s="422" t="s">
        <v>859</v>
      </c>
      <c r="C499" s="133"/>
      <c r="D499" s="156"/>
      <c r="E499" s="31" t="s">
        <v>144</v>
      </c>
      <c r="F499" s="23" t="s">
        <v>49</v>
      </c>
      <c r="G499" s="374"/>
      <c r="H499" s="133"/>
      <c r="I499" s="156"/>
      <c r="J499" s="133"/>
      <c r="K499" s="330"/>
      <c r="L499" s="330"/>
      <c r="M499" s="24"/>
      <c r="N499" s="330"/>
      <c r="O499" s="367"/>
      <c r="P499" s="330"/>
      <c r="Q499" s="330"/>
      <c r="R499" s="330"/>
      <c r="S499" s="330"/>
      <c r="T499" s="330"/>
      <c r="U499" s="330"/>
      <c r="V499" s="330"/>
      <c r="W499" s="330"/>
      <c r="X499" s="330"/>
      <c r="Y499" s="330"/>
      <c r="Z499" s="330"/>
      <c r="AA499" s="330"/>
      <c r="AB499" s="330"/>
      <c r="AC499" s="330"/>
      <c r="AD499" s="330"/>
      <c r="AE499" s="330"/>
      <c r="AF499" s="330"/>
      <c r="AG499" s="330"/>
      <c r="AH499" s="330"/>
      <c r="AI499" s="330"/>
      <c r="AJ499" s="330"/>
      <c r="AK499" s="330"/>
      <c r="AL499" s="330"/>
      <c r="AM499" s="330"/>
    </row>
    <row r="500" spans="1:39" ht="18" customHeight="1" x14ac:dyDescent="0.3">
      <c r="A500" s="432"/>
      <c r="B500" s="423"/>
      <c r="C500" s="133"/>
      <c r="D500" s="156"/>
      <c r="E500" s="31" t="s">
        <v>48</v>
      </c>
      <c r="F500" s="23" t="s">
        <v>49</v>
      </c>
      <c r="G500" s="374"/>
      <c r="H500" s="133"/>
      <c r="I500" s="156"/>
      <c r="J500" s="133"/>
      <c r="K500" s="330"/>
      <c r="L500" s="330"/>
      <c r="M500" s="24"/>
      <c r="N500" s="330"/>
      <c r="O500" s="367"/>
      <c r="P500" s="330"/>
      <c r="Q500" s="330"/>
      <c r="R500" s="330"/>
      <c r="S500" s="330"/>
      <c r="T500" s="330"/>
      <c r="U500" s="330"/>
      <c r="V500" s="330"/>
      <c r="W500" s="330"/>
      <c r="X500" s="330"/>
      <c r="Y500" s="330"/>
      <c r="Z500" s="330"/>
      <c r="AA500" s="330"/>
      <c r="AB500" s="330"/>
      <c r="AC500" s="330"/>
      <c r="AD500" s="330"/>
      <c r="AE500" s="330"/>
      <c r="AF500" s="330"/>
      <c r="AG500" s="330"/>
      <c r="AH500" s="330"/>
      <c r="AI500" s="330"/>
      <c r="AJ500" s="330"/>
      <c r="AK500" s="330"/>
      <c r="AL500" s="330"/>
      <c r="AM500" s="330"/>
    </row>
    <row r="501" spans="1:39" ht="18" customHeight="1" x14ac:dyDescent="0.3">
      <c r="A501" s="431">
        <v>246</v>
      </c>
      <c r="B501" s="422" t="s">
        <v>860</v>
      </c>
      <c r="C501" s="133"/>
      <c r="D501" s="156"/>
      <c r="E501" s="31" t="s">
        <v>144</v>
      </c>
      <c r="F501" s="23" t="s">
        <v>49</v>
      </c>
      <c r="G501" s="374"/>
      <c r="H501" s="133"/>
      <c r="I501" s="156"/>
      <c r="J501" s="133"/>
      <c r="K501" s="330"/>
      <c r="L501" s="330"/>
      <c r="M501" s="24"/>
      <c r="N501" s="330"/>
      <c r="O501" s="367"/>
      <c r="P501" s="330"/>
      <c r="Q501" s="330"/>
      <c r="R501" s="330"/>
      <c r="S501" s="330"/>
      <c r="T501" s="330"/>
      <c r="U501" s="330"/>
      <c r="V501" s="330"/>
      <c r="W501" s="330"/>
      <c r="X501" s="330"/>
      <c r="Y501" s="330"/>
      <c r="Z501" s="330"/>
      <c r="AA501" s="330"/>
      <c r="AB501" s="330"/>
      <c r="AC501" s="330"/>
      <c r="AD501" s="330"/>
      <c r="AE501" s="330"/>
      <c r="AF501" s="330"/>
      <c r="AG501" s="330"/>
      <c r="AH501" s="330"/>
      <c r="AI501" s="330"/>
      <c r="AJ501" s="330"/>
      <c r="AK501" s="330"/>
      <c r="AL501" s="330"/>
      <c r="AM501" s="330"/>
    </row>
    <row r="502" spans="1:39" ht="18" customHeight="1" x14ac:dyDescent="0.3">
      <c r="A502" s="432"/>
      <c r="B502" s="423"/>
      <c r="C502" s="133"/>
      <c r="D502" s="156"/>
      <c r="E502" s="31" t="s">
        <v>48</v>
      </c>
      <c r="F502" s="23" t="s">
        <v>49</v>
      </c>
      <c r="G502" s="374"/>
      <c r="H502" s="133"/>
      <c r="I502" s="156"/>
      <c r="J502" s="133"/>
      <c r="K502" s="330"/>
      <c r="L502" s="330"/>
      <c r="M502" s="24"/>
      <c r="N502" s="330"/>
      <c r="O502" s="367"/>
      <c r="P502" s="330"/>
      <c r="Q502" s="330"/>
      <c r="R502" s="330"/>
      <c r="S502" s="330"/>
      <c r="T502" s="330"/>
      <c r="U502" s="330"/>
      <c r="V502" s="330"/>
      <c r="W502" s="330"/>
      <c r="X502" s="330"/>
      <c r="Y502" s="330"/>
      <c r="Z502" s="330"/>
      <c r="AA502" s="330"/>
      <c r="AB502" s="330"/>
      <c r="AC502" s="330"/>
      <c r="AD502" s="330"/>
      <c r="AE502" s="330"/>
      <c r="AF502" s="330"/>
      <c r="AG502" s="330"/>
      <c r="AH502" s="330"/>
      <c r="AI502" s="330"/>
      <c r="AJ502" s="330"/>
      <c r="AK502" s="330"/>
      <c r="AL502" s="330"/>
      <c r="AM502" s="330"/>
    </row>
    <row r="503" spans="1:39" ht="18" customHeight="1" x14ac:dyDescent="0.3">
      <c r="A503" s="431">
        <v>247</v>
      </c>
      <c r="B503" s="422" t="s">
        <v>861</v>
      </c>
      <c r="C503" s="133"/>
      <c r="D503" s="156"/>
      <c r="E503" s="31" t="s">
        <v>144</v>
      </c>
      <c r="F503" s="23" t="s">
        <v>49</v>
      </c>
      <c r="G503" s="374"/>
      <c r="H503" s="133"/>
      <c r="I503" s="156"/>
      <c r="J503" s="133"/>
      <c r="K503" s="330"/>
      <c r="L503" s="330"/>
      <c r="M503" s="24"/>
      <c r="N503" s="330"/>
      <c r="O503" s="367"/>
      <c r="P503" s="330"/>
      <c r="Q503" s="330"/>
      <c r="R503" s="330"/>
      <c r="S503" s="330"/>
      <c r="T503" s="330"/>
      <c r="U503" s="330"/>
      <c r="V503" s="330"/>
      <c r="W503" s="330"/>
      <c r="X503" s="330"/>
      <c r="Y503" s="330"/>
      <c r="Z503" s="330"/>
      <c r="AA503" s="330"/>
      <c r="AB503" s="330"/>
      <c r="AC503" s="330"/>
      <c r="AD503" s="330"/>
      <c r="AE503" s="330"/>
      <c r="AF503" s="330"/>
      <c r="AG503" s="330"/>
      <c r="AH503" s="330"/>
      <c r="AI503" s="330"/>
      <c r="AJ503" s="330"/>
      <c r="AK503" s="330"/>
      <c r="AL503" s="330"/>
      <c r="AM503" s="330"/>
    </row>
    <row r="504" spans="1:39" ht="18" customHeight="1" x14ac:dyDescent="0.3">
      <c r="A504" s="432"/>
      <c r="B504" s="423"/>
      <c r="C504" s="133"/>
      <c r="D504" s="156"/>
      <c r="E504" s="31" t="s">
        <v>48</v>
      </c>
      <c r="F504" s="23" t="s">
        <v>49</v>
      </c>
      <c r="G504" s="374"/>
      <c r="H504" s="133"/>
      <c r="I504" s="156"/>
      <c r="J504" s="133"/>
      <c r="K504" s="330"/>
      <c r="L504" s="330"/>
      <c r="M504" s="24"/>
      <c r="N504" s="330"/>
      <c r="O504" s="367"/>
      <c r="P504" s="330"/>
      <c r="Q504" s="330"/>
      <c r="R504" s="330"/>
      <c r="S504" s="330"/>
      <c r="T504" s="330"/>
      <c r="U504" s="330"/>
      <c r="V504" s="330"/>
      <c r="W504" s="330"/>
      <c r="X504" s="330"/>
      <c r="Y504" s="330"/>
      <c r="Z504" s="330"/>
      <c r="AA504" s="330"/>
      <c r="AB504" s="330"/>
      <c r="AC504" s="330"/>
      <c r="AD504" s="330"/>
      <c r="AE504" s="330"/>
      <c r="AF504" s="330"/>
      <c r="AG504" s="330"/>
      <c r="AH504" s="330"/>
      <c r="AI504" s="330"/>
      <c r="AJ504" s="330"/>
      <c r="AK504" s="330"/>
      <c r="AL504" s="330"/>
      <c r="AM504" s="330"/>
    </row>
    <row r="505" spans="1:39" ht="18" customHeight="1" x14ac:dyDescent="0.3">
      <c r="A505" s="431">
        <v>248</v>
      </c>
      <c r="B505" s="422" t="s">
        <v>862</v>
      </c>
      <c r="C505" s="133"/>
      <c r="D505" s="156"/>
      <c r="E505" s="31" t="s">
        <v>144</v>
      </c>
      <c r="F505" s="23" t="s">
        <v>49</v>
      </c>
      <c r="G505" s="374"/>
      <c r="H505" s="133"/>
      <c r="I505" s="156"/>
      <c r="J505" s="133"/>
      <c r="K505" s="330"/>
      <c r="L505" s="330"/>
      <c r="M505" s="24"/>
      <c r="N505" s="330"/>
      <c r="O505" s="367"/>
      <c r="P505" s="330"/>
      <c r="Q505" s="330"/>
      <c r="R505" s="330"/>
      <c r="S505" s="330"/>
      <c r="T505" s="330"/>
      <c r="U505" s="330"/>
      <c r="V505" s="330"/>
      <c r="W505" s="330"/>
      <c r="X505" s="330"/>
      <c r="Y505" s="330"/>
      <c r="Z505" s="330"/>
      <c r="AA505" s="330"/>
      <c r="AB505" s="330"/>
      <c r="AC505" s="330"/>
      <c r="AD505" s="330"/>
      <c r="AE505" s="330"/>
      <c r="AF505" s="330"/>
      <c r="AG505" s="330"/>
      <c r="AH505" s="330"/>
      <c r="AI505" s="330"/>
      <c r="AJ505" s="330"/>
      <c r="AK505" s="330"/>
      <c r="AL505" s="330"/>
      <c r="AM505" s="330"/>
    </row>
    <row r="506" spans="1:39" ht="18" customHeight="1" x14ac:dyDescent="0.3">
      <c r="A506" s="432"/>
      <c r="B506" s="423"/>
      <c r="C506" s="133"/>
      <c r="D506" s="156"/>
      <c r="E506" s="31" t="s">
        <v>48</v>
      </c>
      <c r="F506" s="23" t="s">
        <v>49</v>
      </c>
      <c r="G506" s="374"/>
      <c r="H506" s="133"/>
      <c r="I506" s="156"/>
      <c r="J506" s="133"/>
      <c r="K506" s="330"/>
      <c r="L506" s="330"/>
      <c r="M506" s="24"/>
      <c r="N506" s="330"/>
      <c r="O506" s="367"/>
      <c r="P506" s="330"/>
      <c r="Q506" s="330"/>
      <c r="R506" s="330"/>
      <c r="S506" s="330"/>
      <c r="T506" s="330"/>
      <c r="U506" s="330"/>
      <c r="V506" s="330"/>
      <c r="W506" s="330"/>
      <c r="X506" s="330"/>
      <c r="Y506" s="330"/>
      <c r="Z506" s="330"/>
      <c r="AA506" s="330"/>
      <c r="AB506" s="330"/>
      <c r="AC506" s="330"/>
      <c r="AD506" s="330"/>
      <c r="AE506" s="330"/>
      <c r="AF506" s="330"/>
      <c r="AG506" s="330"/>
      <c r="AH506" s="330"/>
      <c r="AI506" s="330"/>
      <c r="AJ506" s="330"/>
      <c r="AK506" s="330"/>
      <c r="AL506" s="330"/>
      <c r="AM506" s="330"/>
    </row>
    <row r="507" spans="1:39" ht="18" customHeight="1" x14ac:dyDescent="0.3">
      <c r="A507" s="431">
        <v>249</v>
      </c>
      <c r="B507" s="422" t="s">
        <v>863</v>
      </c>
      <c r="C507" s="133"/>
      <c r="D507" s="156"/>
      <c r="E507" s="31" t="s">
        <v>144</v>
      </c>
      <c r="F507" s="23" t="s">
        <v>49</v>
      </c>
      <c r="G507" s="374"/>
      <c r="H507" s="133"/>
      <c r="I507" s="156"/>
      <c r="J507" s="133"/>
      <c r="K507" s="330"/>
      <c r="L507" s="330"/>
      <c r="M507" s="24"/>
      <c r="N507" s="330"/>
      <c r="O507" s="367"/>
      <c r="P507" s="330"/>
      <c r="Q507" s="330"/>
      <c r="R507" s="330"/>
      <c r="S507" s="330"/>
      <c r="T507" s="330"/>
      <c r="U507" s="330"/>
      <c r="V507" s="330"/>
      <c r="W507" s="330"/>
      <c r="X507" s="330"/>
      <c r="Y507" s="330"/>
      <c r="Z507" s="330"/>
      <c r="AA507" s="330"/>
      <c r="AB507" s="330"/>
      <c r="AC507" s="330"/>
      <c r="AD507" s="330"/>
      <c r="AE507" s="330"/>
      <c r="AF507" s="330"/>
      <c r="AG507" s="330"/>
      <c r="AH507" s="330"/>
      <c r="AI507" s="330"/>
      <c r="AJ507" s="330"/>
      <c r="AK507" s="330"/>
      <c r="AL507" s="330"/>
      <c r="AM507" s="330"/>
    </row>
    <row r="508" spans="1:39" ht="18" customHeight="1" x14ac:dyDescent="0.3">
      <c r="A508" s="432"/>
      <c r="B508" s="423"/>
      <c r="C508" s="133"/>
      <c r="D508" s="156"/>
      <c r="E508" s="31" t="s">
        <v>48</v>
      </c>
      <c r="F508" s="23" t="s">
        <v>49</v>
      </c>
      <c r="G508" s="374"/>
      <c r="H508" s="133"/>
      <c r="I508" s="156"/>
      <c r="J508" s="133"/>
      <c r="K508" s="330"/>
      <c r="L508" s="330"/>
      <c r="M508" s="24"/>
      <c r="N508" s="330"/>
      <c r="O508" s="367"/>
      <c r="P508" s="330"/>
      <c r="Q508" s="330"/>
      <c r="R508" s="330"/>
      <c r="S508" s="330"/>
      <c r="T508" s="330"/>
      <c r="U508" s="330"/>
      <c r="V508" s="330"/>
      <c r="W508" s="330"/>
      <c r="X508" s="330"/>
      <c r="Y508" s="330"/>
      <c r="Z508" s="330"/>
      <c r="AA508" s="330"/>
      <c r="AB508" s="330"/>
      <c r="AC508" s="330"/>
      <c r="AD508" s="330"/>
      <c r="AE508" s="330"/>
      <c r="AF508" s="330"/>
      <c r="AG508" s="330"/>
      <c r="AH508" s="330"/>
      <c r="AI508" s="330"/>
      <c r="AJ508" s="330"/>
      <c r="AK508" s="330"/>
      <c r="AL508" s="330"/>
      <c r="AM508" s="330"/>
    </row>
    <row r="509" spans="1:39" ht="18" customHeight="1" x14ac:dyDescent="0.3">
      <c r="A509" s="431">
        <v>250</v>
      </c>
      <c r="B509" s="422" t="s">
        <v>864</v>
      </c>
      <c r="C509" s="133"/>
      <c r="D509" s="156"/>
      <c r="E509" s="31" t="s">
        <v>144</v>
      </c>
      <c r="F509" s="23" t="s">
        <v>49</v>
      </c>
      <c r="G509" s="374"/>
      <c r="H509" s="133"/>
      <c r="I509" s="156"/>
      <c r="J509" s="133"/>
      <c r="K509" s="330"/>
      <c r="L509" s="330"/>
      <c r="M509" s="24"/>
      <c r="N509" s="330"/>
      <c r="O509" s="367"/>
      <c r="P509" s="330"/>
      <c r="Q509" s="330"/>
      <c r="R509" s="330"/>
      <c r="S509" s="330"/>
      <c r="T509" s="330"/>
      <c r="U509" s="330"/>
      <c r="V509" s="330"/>
      <c r="W509" s="330"/>
      <c r="X509" s="330"/>
      <c r="Y509" s="330"/>
      <c r="Z509" s="330"/>
      <c r="AA509" s="330"/>
      <c r="AB509" s="330"/>
      <c r="AC509" s="330"/>
      <c r="AD509" s="330"/>
      <c r="AE509" s="330"/>
      <c r="AF509" s="330"/>
      <c r="AG509" s="330"/>
      <c r="AH509" s="330"/>
      <c r="AI509" s="330"/>
      <c r="AJ509" s="330"/>
      <c r="AK509" s="330"/>
      <c r="AL509" s="330"/>
      <c r="AM509" s="330"/>
    </row>
    <row r="510" spans="1:39" ht="18" customHeight="1" x14ac:dyDescent="0.3">
      <c r="A510" s="432"/>
      <c r="B510" s="423"/>
      <c r="C510" s="133"/>
      <c r="D510" s="156"/>
      <c r="E510" s="31" t="s">
        <v>48</v>
      </c>
      <c r="F510" s="23" t="s">
        <v>49</v>
      </c>
      <c r="G510" s="374"/>
      <c r="H510" s="133"/>
      <c r="I510" s="156"/>
      <c r="J510" s="133"/>
      <c r="K510" s="330"/>
      <c r="L510" s="330"/>
      <c r="M510" s="24"/>
      <c r="N510" s="330"/>
      <c r="O510" s="367"/>
      <c r="P510" s="330"/>
      <c r="Q510" s="330"/>
      <c r="R510" s="330"/>
      <c r="S510" s="330"/>
      <c r="T510" s="330"/>
      <c r="U510" s="330"/>
      <c r="V510" s="330"/>
      <c r="W510" s="330"/>
      <c r="X510" s="330"/>
      <c r="Y510" s="330"/>
      <c r="Z510" s="330"/>
      <c r="AA510" s="330"/>
      <c r="AB510" s="330"/>
      <c r="AC510" s="330"/>
      <c r="AD510" s="330"/>
      <c r="AE510" s="330"/>
      <c r="AF510" s="330"/>
      <c r="AG510" s="330"/>
      <c r="AH510" s="330"/>
      <c r="AI510" s="330"/>
      <c r="AJ510" s="330"/>
      <c r="AK510" s="330"/>
      <c r="AL510" s="330"/>
      <c r="AM510" s="330"/>
    </row>
    <row r="511" spans="1:39" ht="18" customHeight="1" x14ac:dyDescent="0.3">
      <c r="A511" s="431">
        <v>251</v>
      </c>
      <c r="B511" s="422" t="s">
        <v>865</v>
      </c>
      <c r="C511" s="133"/>
      <c r="D511" s="156"/>
      <c r="E511" s="31" t="s">
        <v>144</v>
      </c>
      <c r="F511" s="23" t="s">
        <v>49</v>
      </c>
      <c r="G511" s="374"/>
      <c r="H511" s="133"/>
      <c r="I511" s="156"/>
      <c r="J511" s="133"/>
      <c r="K511" s="330"/>
      <c r="L511" s="330"/>
      <c r="M511" s="24"/>
      <c r="N511" s="330"/>
      <c r="O511" s="367"/>
      <c r="P511" s="330"/>
      <c r="Q511" s="330"/>
      <c r="R511" s="330"/>
      <c r="S511" s="330"/>
      <c r="T511" s="330"/>
      <c r="U511" s="330"/>
      <c r="V511" s="330"/>
      <c r="W511" s="330"/>
      <c r="X511" s="330"/>
      <c r="Y511" s="330"/>
      <c r="Z511" s="330"/>
      <c r="AA511" s="330"/>
      <c r="AB511" s="330"/>
      <c r="AC511" s="330"/>
      <c r="AD511" s="330"/>
      <c r="AE511" s="330"/>
      <c r="AF511" s="330"/>
      <c r="AG511" s="330"/>
      <c r="AH511" s="330"/>
      <c r="AI511" s="330"/>
      <c r="AJ511" s="330"/>
      <c r="AK511" s="330"/>
      <c r="AL511" s="330"/>
      <c r="AM511" s="330"/>
    </row>
    <row r="512" spans="1:39" ht="18" customHeight="1" x14ac:dyDescent="0.3">
      <c r="A512" s="432"/>
      <c r="B512" s="423"/>
      <c r="C512" s="133"/>
      <c r="D512" s="156"/>
      <c r="E512" s="31" t="s">
        <v>48</v>
      </c>
      <c r="F512" s="23" t="s">
        <v>49</v>
      </c>
      <c r="G512" s="374"/>
      <c r="H512" s="133"/>
      <c r="I512" s="156"/>
      <c r="J512" s="133"/>
      <c r="K512" s="330"/>
      <c r="L512" s="330"/>
      <c r="M512" s="24"/>
      <c r="N512" s="330"/>
      <c r="O512" s="367"/>
      <c r="P512" s="330"/>
      <c r="Q512" s="330"/>
      <c r="R512" s="330"/>
      <c r="S512" s="330"/>
      <c r="T512" s="330"/>
      <c r="U512" s="330"/>
      <c r="V512" s="330"/>
      <c r="W512" s="330"/>
      <c r="X512" s="330"/>
      <c r="Y512" s="330"/>
      <c r="Z512" s="330"/>
      <c r="AA512" s="330"/>
      <c r="AB512" s="330"/>
      <c r="AC512" s="330"/>
      <c r="AD512" s="330"/>
      <c r="AE512" s="330"/>
      <c r="AF512" s="330"/>
      <c r="AG512" s="330"/>
      <c r="AH512" s="330"/>
      <c r="AI512" s="330"/>
      <c r="AJ512" s="330"/>
      <c r="AK512" s="330"/>
      <c r="AL512" s="330"/>
      <c r="AM512" s="330"/>
    </row>
    <row r="513" spans="1:39" ht="18" customHeight="1" x14ac:dyDescent="0.3">
      <c r="A513" s="431">
        <v>252</v>
      </c>
      <c r="B513" s="422" t="s">
        <v>866</v>
      </c>
      <c r="C513" s="133"/>
      <c r="D513" s="156"/>
      <c r="E513" s="31" t="s">
        <v>144</v>
      </c>
      <c r="F513" s="23" t="s">
        <v>49</v>
      </c>
      <c r="G513" s="374"/>
      <c r="H513" s="133"/>
      <c r="I513" s="156"/>
      <c r="J513" s="133"/>
      <c r="K513" s="330"/>
      <c r="L513" s="330"/>
      <c r="M513" s="24"/>
      <c r="N513" s="330"/>
      <c r="O513" s="367"/>
      <c r="P513" s="330"/>
      <c r="Q513" s="330"/>
      <c r="R513" s="330"/>
      <c r="S513" s="330"/>
      <c r="T513" s="330"/>
      <c r="U513" s="330"/>
      <c r="V513" s="330"/>
      <c r="W513" s="330"/>
      <c r="X513" s="330"/>
      <c r="Y513" s="330"/>
      <c r="Z513" s="330"/>
      <c r="AA513" s="330"/>
      <c r="AB513" s="330"/>
      <c r="AC513" s="330"/>
      <c r="AD513" s="330"/>
      <c r="AE513" s="330"/>
      <c r="AF513" s="330"/>
      <c r="AG513" s="330"/>
      <c r="AH513" s="330"/>
      <c r="AI513" s="330"/>
      <c r="AJ513" s="330"/>
      <c r="AK513" s="330"/>
      <c r="AL513" s="330"/>
      <c r="AM513" s="330"/>
    </row>
    <row r="514" spans="1:39" ht="18" customHeight="1" x14ac:dyDescent="0.3">
      <c r="A514" s="432"/>
      <c r="B514" s="423"/>
      <c r="C514" s="133"/>
      <c r="D514" s="156"/>
      <c r="E514" s="31" t="s">
        <v>48</v>
      </c>
      <c r="F514" s="23" t="s">
        <v>49</v>
      </c>
      <c r="G514" s="374"/>
      <c r="H514" s="133"/>
      <c r="I514" s="156"/>
      <c r="J514" s="133"/>
      <c r="K514" s="330"/>
      <c r="L514" s="330"/>
      <c r="M514" s="24"/>
      <c r="N514" s="330"/>
      <c r="O514" s="367"/>
      <c r="P514" s="330"/>
      <c r="Q514" s="330"/>
      <c r="R514" s="330"/>
      <c r="S514" s="330"/>
      <c r="T514" s="330"/>
      <c r="U514" s="330"/>
      <c r="V514" s="330"/>
      <c r="W514" s="330"/>
      <c r="X514" s="330"/>
      <c r="Y514" s="330"/>
      <c r="Z514" s="330"/>
      <c r="AA514" s="330"/>
      <c r="AB514" s="330"/>
      <c r="AC514" s="330"/>
      <c r="AD514" s="330"/>
      <c r="AE514" s="330"/>
      <c r="AF514" s="330"/>
      <c r="AG514" s="330"/>
      <c r="AH514" s="330"/>
      <c r="AI514" s="330"/>
      <c r="AJ514" s="330"/>
      <c r="AK514" s="330"/>
      <c r="AL514" s="330"/>
      <c r="AM514" s="330"/>
    </row>
    <row r="515" spans="1:39" ht="18" customHeight="1" x14ac:dyDescent="0.3">
      <c r="A515" s="431">
        <v>253</v>
      </c>
      <c r="B515" s="422" t="s">
        <v>867</v>
      </c>
      <c r="C515" s="133"/>
      <c r="D515" s="156"/>
      <c r="E515" s="31" t="s">
        <v>144</v>
      </c>
      <c r="F515" s="23" t="s">
        <v>49</v>
      </c>
      <c r="G515" s="374"/>
      <c r="H515" s="133"/>
      <c r="I515" s="156"/>
      <c r="J515" s="133"/>
      <c r="K515" s="330"/>
      <c r="L515" s="330"/>
      <c r="M515" s="24"/>
      <c r="N515" s="330"/>
      <c r="O515" s="367"/>
      <c r="P515" s="330"/>
      <c r="Q515" s="330"/>
      <c r="R515" s="330"/>
      <c r="S515" s="330"/>
      <c r="T515" s="330"/>
      <c r="U515" s="330"/>
      <c r="V515" s="330"/>
      <c r="W515" s="330"/>
      <c r="X515" s="330"/>
      <c r="Y515" s="330"/>
      <c r="Z515" s="330"/>
      <c r="AA515" s="330"/>
      <c r="AB515" s="330"/>
      <c r="AC515" s="330"/>
      <c r="AD515" s="330"/>
      <c r="AE515" s="330"/>
      <c r="AF515" s="330"/>
      <c r="AG515" s="330"/>
      <c r="AH515" s="330"/>
      <c r="AI515" s="330"/>
      <c r="AJ515" s="330"/>
      <c r="AK515" s="330"/>
      <c r="AL515" s="330"/>
      <c r="AM515" s="330"/>
    </row>
    <row r="516" spans="1:39" ht="18" customHeight="1" x14ac:dyDescent="0.3">
      <c r="A516" s="432"/>
      <c r="B516" s="423"/>
      <c r="C516" s="133"/>
      <c r="D516" s="156"/>
      <c r="E516" s="31" t="s">
        <v>48</v>
      </c>
      <c r="F516" s="23" t="s">
        <v>49</v>
      </c>
      <c r="G516" s="374"/>
      <c r="H516" s="133"/>
      <c r="I516" s="156"/>
      <c r="J516" s="133"/>
      <c r="K516" s="330"/>
      <c r="L516" s="330"/>
      <c r="M516" s="24"/>
      <c r="N516" s="330"/>
      <c r="O516" s="367"/>
      <c r="P516" s="330"/>
      <c r="Q516" s="330"/>
      <c r="R516" s="330"/>
      <c r="S516" s="330"/>
      <c r="T516" s="330"/>
      <c r="U516" s="330"/>
      <c r="V516" s="330"/>
      <c r="W516" s="330"/>
      <c r="X516" s="330"/>
      <c r="Y516" s="330"/>
      <c r="Z516" s="330"/>
      <c r="AA516" s="330"/>
      <c r="AB516" s="330"/>
      <c r="AC516" s="330"/>
      <c r="AD516" s="330"/>
      <c r="AE516" s="330"/>
      <c r="AF516" s="330"/>
      <c r="AG516" s="330"/>
      <c r="AH516" s="330"/>
      <c r="AI516" s="330"/>
      <c r="AJ516" s="330"/>
      <c r="AK516" s="330"/>
      <c r="AL516" s="330"/>
      <c r="AM516" s="330"/>
    </row>
    <row r="517" spans="1:39" ht="18" customHeight="1" x14ac:dyDescent="0.3">
      <c r="A517" s="431">
        <v>254</v>
      </c>
      <c r="B517" s="422" t="s">
        <v>868</v>
      </c>
      <c r="C517" s="133"/>
      <c r="D517" s="156"/>
      <c r="E517" s="31" t="s">
        <v>144</v>
      </c>
      <c r="F517" s="23" t="s">
        <v>49</v>
      </c>
      <c r="G517" s="374"/>
      <c r="H517" s="133"/>
      <c r="I517" s="156"/>
      <c r="J517" s="133"/>
      <c r="K517" s="330"/>
      <c r="L517" s="330"/>
      <c r="M517" s="24"/>
      <c r="N517" s="330"/>
      <c r="O517" s="367"/>
      <c r="P517" s="330"/>
      <c r="Q517" s="330"/>
      <c r="R517" s="330"/>
      <c r="S517" s="330"/>
      <c r="T517" s="330"/>
      <c r="U517" s="330"/>
      <c r="V517" s="330"/>
      <c r="W517" s="330"/>
      <c r="X517" s="330"/>
      <c r="Y517" s="330"/>
      <c r="Z517" s="330"/>
      <c r="AA517" s="330"/>
      <c r="AB517" s="330"/>
      <c r="AC517" s="330"/>
      <c r="AD517" s="330"/>
      <c r="AE517" s="330"/>
      <c r="AF517" s="330"/>
      <c r="AG517" s="330"/>
      <c r="AH517" s="330"/>
      <c r="AI517" s="330"/>
      <c r="AJ517" s="330"/>
      <c r="AK517" s="330"/>
      <c r="AL517" s="330"/>
      <c r="AM517" s="330"/>
    </row>
    <row r="518" spans="1:39" ht="18" customHeight="1" x14ac:dyDescent="0.3">
      <c r="A518" s="432"/>
      <c r="B518" s="423"/>
      <c r="C518" s="133"/>
      <c r="D518" s="156"/>
      <c r="E518" s="31" t="s">
        <v>48</v>
      </c>
      <c r="F518" s="23" t="s">
        <v>49</v>
      </c>
      <c r="G518" s="374"/>
      <c r="H518" s="133"/>
      <c r="I518" s="156"/>
      <c r="J518" s="133"/>
      <c r="K518" s="330"/>
      <c r="L518" s="330"/>
      <c r="M518" s="24"/>
      <c r="N518" s="330"/>
      <c r="O518" s="367"/>
      <c r="P518" s="330"/>
      <c r="Q518" s="330"/>
      <c r="R518" s="330"/>
      <c r="S518" s="330"/>
      <c r="T518" s="330"/>
      <c r="U518" s="330"/>
      <c r="V518" s="330"/>
      <c r="W518" s="330"/>
      <c r="X518" s="330"/>
      <c r="Y518" s="330"/>
      <c r="Z518" s="330"/>
      <c r="AA518" s="330"/>
      <c r="AB518" s="330"/>
      <c r="AC518" s="330"/>
      <c r="AD518" s="330"/>
      <c r="AE518" s="330"/>
      <c r="AF518" s="330"/>
      <c r="AG518" s="330"/>
      <c r="AH518" s="330"/>
      <c r="AI518" s="330"/>
      <c r="AJ518" s="330"/>
      <c r="AK518" s="330"/>
      <c r="AL518" s="330"/>
      <c r="AM518" s="330"/>
    </row>
    <row r="519" spans="1:39" ht="18" customHeight="1" x14ac:dyDescent="0.3">
      <c r="A519" s="431">
        <v>255</v>
      </c>
      <c r="B519" s="422" t="s">
        <v>869</v>
      </c>
      <c r="C519" s="133"/>
      <c r="D519" s="156"/>
      <c r="E519" s="31" t="s">
        <v>144</v>
      </c>
      <c r="F519" s="23" t="s">
        <v>49</v>
      </c>
      <c r="G519" s="374"/>
      <c r="H519" s="133"/>
      <c r="I519" s="156"/>
      <c r="J519" s="133"/>
      <c r="K519" s="330"/>
      <c r="L519" s="330"/>
      <c r="M519" s="24"/>
      <c r="N519" s="330"/>
      <c r="O519" s="367"/>
      <c r="P519" s="330"/>
      <c r="Q519" s="330"/>
      <c r="R519" s="330"/>
      <c r="S519" s="330"/>
      <c r="T519" s="330"/>
      <c r="U519" s="330"/>
      <c r="V519" s="330"/>
      <c r="W519" s="330"/>
      <c r="X519" s="330"/>
      <c r="Y519" s="330"/>
      <c r="Z519" s="330"/>
      <c r="AA519" s="330"/>
      <c r="AB519" s="330"/>
      <c r="AC519" s="330"/>
      <c r="AD519" s="330"/>
      <c r="AE519" s="330"/>
      <c r="AF519" s="330"/>
      <c r="AG519" s="330"/>
      <c r="AH519" s="330"/>
      <c r="AI519" s="330"/>
      <c r="AJ519" s="330"/>
      <c r="AK519" s="330"/>
      <c r="AL519" s="330"/>
      <c r="AM519" s="330"/>
    </row>
    <row r="520" spans="1:39" ht="18" customHeight="1" x14ac:dyDescent="0.3">
      <c r="A520" s="432"/>
      <c r="B520" s="423"/>
      <c r="C520" s="133"/>
      <c r="D520" s="156"/>
      <c r="E520" s="31" t="s">
        <v>48</v>
      </c>
      <c r="F520" s="23" t="s">
        <v>49</v>
      </c>
      <c r="G520" s="374"/>
      <c r="H520" s="133"/>
      <c r="I520" s="156"/>
      <c r="J520" s="133"/>
      <c r="K520" s="330"/>
      <c r="L520" s="330"/>
      <c r="M520" s="24"/>
      <c r="N520" s="330"/>
      <c r="O520" s="367"/>
      <c r="P520" s="330"/>
      <c r="Q520" s="330"/>
      <c r="R520" s="330"/>
      <c r="S520" s="330"/>
      <c r="T520" s="330"/>
      <c r="U520" s="330"/>
      <c r="V520" s="330"/>
      <c r="W520" s="330"/>
      <c r="X520" s="330"/>
      <c r="Y520" s="330"/>
      <c r="Z520" s="330"/>
      <c r="AA520" s="330"/>
      <c r="AB520" s="330"/>
      <c r="AC520" s="330"/>
      <c r="AD520" s="330"/>
      <c r="AE520" s="330"/>
      <c r="AF520" s="330"/>
      <c r="AG520" s="330"/>
      <c r="AH520" s="330"/>
      <c r="AI520" s="330"/>
      <c r="AJ520" s="330"/>
      <c r="AK520" s="330"/>
      <c r="AL520" s="330"/>
      <c r="AM520" s="330"/>
    </row>
    <row r="521" spans="1:39" ht="18" customHeight="1" x14ac:dyDescent="0.3">
      <c r="A521" s="431">
        <v>256</v>
      </c>
      <c r="B521" s="422" t="s">
        <v>870</v>
      </c>
      <c r="C521" s="133"/>
      <c r="D521" s="156"/>
      <c r="E521" s="31" t="s">
        <v>144</v>
      </c>
      <c r="F521" s="23" t="s">
        <v>49</v>
      </c>
      <c r="G521" s="374"/>
      <c r="H521" s="133"/>
      <c r="I521" s="156"/>
      <c r="J521" s="133"/>
      <c r="K521" s="330"/>
      <c r="L521" s="330"/>
      <c r="M521" s="24"/>
      <c r="N521" s="330"/>
      <c r="O521" s="367"/>
      <c r="P521" s="330"/>
      <c r="Q521" s="330"/>
      <c r="R521" s="330"/>
      <c r="S521" s="330"/>
      <c r="T521" s="330"/>
      <c r="U521" s="330"/>
      <c r="V521" s="330"/>
      <c r="W521" s="330"/>
      <c r="X521" s="330"/>
      <c r="Y521" s="330"/>
      <c r="Z521" s="330"/>
      <c r="AA521" s="330"/>
      <c r="AB521" s="330"/>
      <c r="AC521" s="330"/>
      <c r="AD521" s="330"/>
      <c r="AE521" s="330"/>
      <c r="AF521" s="330"/>
      <c r="AG521" s="330"/>
      <c r="AH521" s="330"/>
      <c r="AI521" s="330"/>
      <c r="AJ521" s="330"/>
      <c r="AK521" s="330"/>
      <c r="AL521" s="330"/>
      <c r="AM521" s="330"/>
    </row>
    <row r="522" spans="1:39" ht="18" customHeight="1" x14ac:dyDescent="0.3">
      <c r="A522" s="432"/>
      <c r="B522" s="423"/>
      <c r="C522" s="133"/>
      <c r="D522" s="156"/>
      <c r="E522" s="31" t="s">
        <v>48</v>
      </c>
      <c r="F522" s="23" t="s">
        <v>49</v>
      </c>
      <c r="G522" s="374"/>
      <c r="H522" s="133"/>
      <c r="I522" s="156"/>
      <c r="J522" s="133"/>
      <c r="K522" s="330"/>
      <c r="L522" s="330"/>
      <c r="M522" s="24"/>
      <c r="N522" s="330"/>
      <c r="O522" s="367"/>
      <c r="P522" s="330"/>
      <c r="Q522" s="330"/>
      <c r="R522" s="330"/>
      <c r="S522" s="330"/>
      <c r="T522" s="330"/>
      <c r="U522" s="330"/>
      <c r="V522" s="330"/>
      <c r="W522" s="330"/>
      <c r="X522" s="330"/>
      <c r="Y522" s="330"/>
      <c r="Z522" s="330"/>
      <c r="AA522" s="330"/>
      <c r="AB522" s="330"/>
      <c r="AC522" s="330"/>
      <c r="AD522" s="330"/>
      <c r="AE522" s="330"/>
      <c r="AF522" s="330"/>
      <c r="AG522" s="330"/>
      <c r="AH522" s="330"/>
      <c r="AI522" s="330"/>
      <c r="AJ522" s="330"/>
      <c r="AK522" s="330"/>
      <c r="AL522" s="330"/>
      <c r="AM522" s="330"/>
    </row>
    <row r="523" spans="1:39" ht="18" customHeight="1" x14ac:dyDescent="0.3">
      <c r="A523" s="431">
        <v>257</v>
      </c>
      <c r="B523" s="422" t="s">
        <v>871</v>
      </c>
      <c r="C523" s="133"/>
      <c r="D523" s="156"/>
      <c r="E523" s="31" t="s">
        <v>144</v>
      </c>
      <c r="F523" s="23" t="s">
        <v>49</v>
      </c>
      <c r="G523" s="374"/>
      <c r="H523" s="133"/>
      <c r="I523" s="156"/>
      <c r="J523" s="133"/>
      <c r="K523" s="330"/>
      <c r="L523" s="330"/>
      <c r="M523" s="24"/>
      <c r="N523" s="330"/>
      <c r="O523" s="367"/>
      <c r="P523" s="330"/>
      <c r="Q523" s="330"/>
      <c r="R523" s="330"/>
      <c r="S523" s="330"/>
      <c r="T523" s="330"/>
      <c r="U523" s="330"/>
      <c r="V523" s="330"/>
      <c r="W523" s="330"/>
      <c r="X523" s="330"/>
      <c r="Y523" s="330"/>
      <c r="Z523" s="330"/>
      <c r="AA523" s="330"/>
      <c r="AB523" s="330"/>
      <c r="AC523" s="330"/>
      <c r="AD523" s="330"/>
      <c r="AE523" s="330"/>
      <c r="AF523" s="330"/>
      <c r="AG523" s="330"/>
      <c r="AH523" s="330"/>
      <c r="AI523" s="330"/>
      <c r="AJ523" s="330"/>
      <c r="AK523" s="330"/>
      <c r="AL523" s="330"/>
      <c r="AM523" s="330"/>
    </row>
    <row r="524" spans="1:39" ht="18" customHeight="1" x14ac:dyDescent="0.3">
      <c r="A524" s="432"/>
      <c r="B524" s="423"/>
      <c r="C524" s="133"/>
      <c r="D524" s="156"/>
      <c r="E524" s="31" t="s">
        <v>48</v>
      </c>
      <c r="F524" s="23" t="s">
        <v>49</v>
      </c>
      <c r="G524" s="374"/>
      <c r="H524" s="133"/>
      <c r="I524" s="156"/>
      <c r="J524" s="133"/>
      <c r="K524" s="330"/>
      <c r="L524" s="330"/>
      <c r="M524" s="24"/>
      <c r="N524" s="330"/>
      <c r="O524" s="367"/>
      <c r="P524" s="330"/>
      <c r="Q524" s="330"/>
      <c r="R524" s="330"/>
      <c r="S524" s="330"/>
      <c r="T524" s="330"/>
      <c r="U524" s="330"/>
      <c r="V524" s="330"/>
      <c r="W524" s="330"/>
      <c r="X524" s="330"/>
      <c r="Y524" s="330"/>
      <c r="Z524" s="330"/>
      <c r="AA524" s="330"/>
      <c r="AB524" s="330"/>
      <c r="AC524" s="330"/>
      <c r="AD524" s="330"/>
      <c r="AE524" s="330"/>
      <c r="AF524" s="330"/>
      <c r="AG524" s="330"/>
      <c r="AH524" s="330"/>
      <c r="AI524" s="330"/>
      <c r="AJ524" s="330"/>
      <c r="AK524" s="330"/>
      <c r="AL524" s="330"/>
      <c r="AM524" s="330"/>
    </row>
    <row r="525" spans="1:39" ht="18" customHeight="1" x14ac:dyDescent="0.3">
      <c r="A525" s="431">
        <v>258</v>
      </c>
      <c r="B525" s="422" t="s">
        <v>872</v>
      </c>
      <c r="C525" s="133"/>
      <c r="D525" s="156"/>
      <c r="E525" s="31" t="s">
        <v>144</v>
      </c>
      <c r="F525" s="23" t="s">
        <v>49</v>
      </c>
      <c r="G525" s="374"/>
      <c r="H525" s="133"/>
      <c r="I525" s="156"/>
      <c r="J525" s="133"/>
      <c r="K525" s="330"/>
      <c r="L525" s="330"/>
      <c r="M525" s="24"/>
      <c r="N525" s="330"/>
      <c r="O525" s="367"/>
      <c r="P525" s="330"/>
      <c r="Q525" s="330"/>
      <c r="R525" s="330"/>
      <c r="S525" s="330"/>
      <c r="T525" s="330"/>
      <c r="U525" s="330"/>
      <c r="V525" s="330"/>
      <c r="W525" s="330"/>
      <c r="X525" s="330"/>
      <c r="Y525" s="330"/>
      <c r="Z525" s="330"/>
      <c r="AA525" s="330"/>
      <c r="AB525" s="330"/>
      <c r="AC525" s="330"/>
      <c r="AD525" s="330"/>
      <c r="AE525" s="330"/>
      <c r="AF525" s="330"/>
      <c r="AG525" s="330"/>
      <c r="AH525" s="330"/>
      <c r="AI525" s="330"/>
      <c r="AJ525" s="330"/>
      <c r="AK525" s="330"/>
      <c r="AL525" s="330"/>
      <c r="AM525" s="330"/>
    </row>
    <row r="526" spans="1:39" ht="18" customHeight="1" x14ac:dyDescent="0.3">
      <c r="A526" s="432"/>
      <c r="B526" s="423"/>
      <c r="C526" s="133"/>
      <c r="D526" s="156"/>
      <c r="E526" s="31" t="s">
        <v>48</v>
      </c>
      <c r="F526" s="23" t="s">
        <v>49</v>
      </c>
      <c r="G526" s="374"/>
      <c r="H526" s="133"/>
      <c r="I526" s="156"/>
      <c r="J526" s="133"/>
      <c r="K526" s="330"/>
      <c r="L526" s="330"/>
      <c r="M526" s="24"/>
      <c r="N526" s="330"/>
      <c r="O526" s="367"/>
      <c r="P526" s="330"/>
      <c r="Q526" s="330"/>
      <c r="R526" s="330"/>
      <c r="S526" s="330"/>
      <c r="T526" s="330"/>
      <c r="U526" s="330"/>
      <c r="V526" s="330"/>
      <c r="W526" s="330"/>
      <c r="X526" s="330"/>
      <c r="Y526" s="330"/>
      <c r="Z526" s="330"/>
      <c r="AA526" s="330"/>
      <c r="AB526" s="330"/>
      <c r="AC526" s="330"/>
      <c r="AD526" s="330"/>
      <c r="AE526" s="330"/>
      <c r="AF526" s="330"/>
      <c r="AG526" s="330"/>
      <c r="AH526" s="330"/>
      <c r="AI526" s="330"/>
      <c r="AJ526" s="330"/>
      <c r="AK526" s="330"/>
      <c r="AL526" s="330"/>
      <c r="AM526" s="330"/>
    </row>
    <row r="527" spans="1:39" ht="18" customHeight="1" x14ac:dyDescent="0.3">
      <c r="A527" s="431">
        <v>259</v>
      </c>
      <c r="B527" s="422" t="s">
        <v>873</v>
      </c>
      <c r="C527" s="133"/>
      <c r="D527" s="156"/>
      <c r="E527" s="31" t="s">
        <v>144</v>
      </c>
      <c r="F527" s="23" t="s">
        <v>49</v>
      </c>
      <c r="G527" s="374"/>
      <c r="H527" s="133"/>
      <c r="I527" s="156"/>
      <c r="J527" s="133"/>
      <c r="K527" s="330"/>
      <c r="L527" s="330"/>
      <c r="M527" s="24"/>
      <c r="N527" s="330"/>
      <c r="O527" s="367"/>
      <c r="P527" s="330"/>
      <c r="Q527" s="330"/>
      <c r="R527" s="330"/>
      <c r="S527" s="330"/>
      <c r="T527" s="330"/>
      <c r="U527" s="330"/>
      <c r="V527" s="330"/>
      <c r="W527" s="330"/>
      <c r="X527" s="330"/>
      <c r="Y527" s="330"/>
      <c r="Z527" s="330"/>
      <c r="AA527" s="330"/>
      <c r="AB527" s="330"/>
      <c r="AC527" s="330"/>
      <c r="AD527" s="330"/>
      <c r="AE527" s="330"/>
      <c r="AF527" s="330"/>
      <c r="AG527" s="330"/>
      <c r="AH527" s="330"/>
      <c r="AI527" s="330"/>
      <c r="AJ527" s="330"/>
      <c r="AK527" s="330"/>
      <c r="AL527" s="330"/>
      <c r="AM527" s="330"/>
    </row>
    <row r="528" spans="1:39" ht="18" customHeight="1" x14ac:dyDescent="0.3">
      <c r="A528" s="432"/>
      <c r="B528" s="423"/>
      <c r="C528" s="133"/>
      <c r="D528" s="156"/>
      <c r="E528" s="31" t="s">
        <v>48</v>
      </c>
      <c r="F528" s="23" t="s">
        <v>49</v>
      </c>
      <c r="G528" s="374"/>
      <c r="H528" s="133"/>
      <c r="I528" s="156"/>
      <c r="J528" s="133"/>
      <c r="K528" s="330"/>
      <c r="L528" s="330"/>
      <c r="M528" s="24"/>
      <c r="N528" s="330"/>
      <c r="O528" s="367"/>
      <c r="P528" s="330"/>
      <c r="Q528" s="330"/>
      <c r="R528" s="330"/>
      <c r="S528" s="330"/>
      <c r="T528" s="330"/>
      <c r="U528" s="330"/>
      <c r="V528" s="330"/>
      <c r="W528" s="330"/>
      <c r="X528" s="330"/>
      <c r="Y528" s="330"/>
      <c r="Z528" s="330"/>
      <c r="AA528" s="330"/>
      <c r="AB528" s="330"/>
      <c r="AC528" s="330"/>
      <c r="AD528" s="330"/>
      <c r="AE528" s="330"/>
      <c r="AF528" s="330"/>
      <c r="AG528" s="330"/>
      <c r="AH528" s="330"/>
      <c r="AI528" s="330"/>
      <c r="AJ528" s="330"/>
      <c r="AK528" s="330"/>
      <c r="AL528" s="330"/>
      <c r="AM528" s="330"/>
    </row>
    <row r="529" spans="1:39" ht="18" customHeight="1" x14ac:dyDescent="0.3">
      <c r="A529" s="431">
        <v>260</v>
      </c>
      <c r="B529" s="422" t="s">
        <v>874</v>
      </c>
      <c r="C529" s="133"/>
      <c r="D529" s="156"/>
      <c r="E529" s="31" t="s">
        <v>144</v>
      </c>
      <c r="F529" s="23" t="s">
        <v>49</v>
      </c>
      <c r="G529" s="374"/>
      <c r="H529" s="133"/>
      <c r="I529" s="156"/>
      <c r="J529" s="133"/>
      <c r="K529" s="330"/>
      <c r="L529" s="330"/>
      <c r="M529" s="24"/>
      <c r="N529" s="330"/>
      <c r="O529" s="367"/>
      <c r="P529" s="330"/>
      <c r="Q529" s="330"/>
      <c r="R529" s="330"/>
      <c r="S529" s="330"/>
      <c r="T529" s="330"/>
      <c r="U529" s="330"/>
      <c r="V529" s="330"/>
      <c r="W529" s="330"/>
      <c r="X529" s="330"/>
      <c r="Y529" s="330"/>
      <c r="Z529" s="330"/>
      <c r="AA529" s="330"/>
      <c r="AB529" s="330"/>
      <c r="AC529" s="330"/>
      <c r="AD529" s="330"/>
      <c r="AE529" s="330"/>
      <c r="AF529" s="330"/>
      <c r="AG529" s="330"/>
      <c r="AH529" s="330"/>
      <c r="AI529" s="330"/>
      <c r="AJ529" s="330"/>
      <c r="AK529" s="330"/>
      <c r="AL529" s="330"/>
      <c r="AM529" s="330"/>
    </row>
    <row r="530" spans="1:39" ht="18" customHeight="1" x14ac:dyDescent="0.3">
      <c r="A530" s="432"/>
      <c r="B530" s="423"/>
      <c r="C530" s="133"/>
      <c r="D530" s="156"/>
      <c r="E530" s="31" t="s">
        <v>48</v>
      </c>
      <c r="F530" s="23" t="s">
        <v>49</v>
      </c>
      <c r="G530" s="374"/>
      <c r="H530" s="133"/>
      <c r="I530" s="156"/>
      <c r="J530" s="133"/>
      <c r="K530" s="330"/>
      <c r="L530" s="330"/>
      <c r="M530" s="24"/>
      <c r="N530" s="330"/>
      <c r="O530" s="367"/>
      <c r="P530" s="330"/>
      <c r="Q530" s="330"/>
      <c r="R530" s="330"/>
      <c r="S530" s="330"/>
      <c r="T530" s="330"/>
      <c r="U530" s="330"/>
      <c r="V530" s="330"/>
      <c r="W530" s="330"/>
      <c r="X530" s="330"/>
      <c r="Y530" s="330"/>
      <c r="Z530" s="330"/>
      <c r="AA530" s="330"/>
      <c r="AB530" s="330"/>
      <c r="AC530" s="330"/>
      <c r="AD530" s="330"/>
      <c r="AE530" s="330"/>
      <c r="AF530" s="330"/>
      <c r="AG530" s="330"/>
      <c r="AH530" s="330"/>
      <c r="AI530" s="330"/>
      <c r="AJ530" s="330"/>
      <c r="AK530" s="330"/>
      <c r="AL530" s="330"/>
      <c r="AM530" s="330"/>
    </row>
    <row r="531" spans="1:39" ht="18" customHeight="1" x14ac:dyDescent="0.3">
      <c r="A531" s="431">
        <v>261</v>
      </c>
      <c r="B531" s="422" t="s">
        <v>875</v>
      </c>
      <c r="C531" s="133"/>
      <c r="D531" s="156"/>
      <c r="E531" s="31" t="s">
        <v>144</v>
      </c>
      <c r="F531" s="23" t="s">
        <v>49</v>
      </c>
      <c r="G531" s="374"/>
      <c r="H531" s="133"/>
      <c r="I531" s="156"/>
      <c r="J531" s="133"/>
      <c r="K531" s="330"/>
      <c r="L531" s="330"/>
      <c r="M531" s="24"/>
      <c r="N531" s="330"/>
      <c r="O531" s="367"/>
      <c r="P531" s="330"/>
      <c r="Q531" s="330"/>
      <c r="R531" s="330"/>
      <c r="S531" s="330"/>
      <c r="T531" s="330"/>
      <c r="U531" s="330"/>
      <c r="V531" s="330"/>
      <c r="W531" s="330"/>
      <c r="X531" s="330"/>
      <c r="Y531" s="330"/>
      <c r="Z531" s="330"/>
      <c r="AA531" s="330"/>
      <c r="AB531" s="330"/>
      <c r="AC531" s="330"/>
      <c r="AD531" s="330"/>
      <c r="AE531" s="330"/>
      <c r="AF531" s="330"/>
      <c r="AG531" s="330"/>
      <c r="AH531" s="330"/>
      <c r="AI531" s="330"/>
      <c r="AJ531" s="330"/>
      <c r="AK531" s="330"/>
      <c r="AL531" s="330"/>
      <c r="AM531" s="330"/>
    </row>
    <row r="532" spans="1:39" ht="18" customHeight="1" x14ac:dyDescent="0.3">
      <c r="A532" s="432"/>
      <c r="B532" s="423"/>
      <c r="C532" s="133"/>
      <c r="D532" s="156"/>
      <c r="E532" s="31" t="s">
        <v>48</v>
      </c>
      <c r="F532" s="23" t="s">
        <v>49</v>
      </c>
      <c r="G532" s="374"/>
      <c r="H532" s="133"/>
      <c r="I532" s="156"/>
      <c r="J532" s="133"/>
      <c r="K532" s="330"/>
      <c r="L532" s="330"/>
      <c r="M532" s="24"/>
      <c r="N532" s="330"/>
      <c r="O532" s="367"/>
      <c r="P532" s="330"/>
      <c r="Q532" s="330"/>
      <c r="R532" s="330"/>
      <c r="S532" s="330"/>
      <c r="T532" s="330"/>
      <c r="U532" s="330"/>
      <c r="V532" s="330"/>
      <c r="W532" s="330"/>
      <c r="X532" s="330"/>
      <c r="Y532" s="330"/>
      <c r="Z532" s="330"/>
      <c r="AA532" s="330"/>
      <c r="AB532" s="330"/>
      <c r="AC532" s="330"/>
      <c r="AD532" s="330"/>
      <c r="AE532" s="330"/>
      <c r="AF532" s="330"/>
      <c r="AG532" s="330"/>
      <c r="AH532" s="330"/>
      <c r="AI532" s="330"/>
      <c r="AJ532" s="330"/>
      <c r="AK532" s="330"/>
      <c r="AL532" s="330"/>
      <c r="AM532" s="330"/>
    </row>
    <row r="533" spans="1:39" ht="18" customHeight="1" x14ac:dyDescent="0.3">
      <c r="A533" s="431">
        <v>262</v>
      </c>
      <c r="B533" s="422" t="s">
        <v>876</v>
      </c>
      <c r="C533" s="133"/>
      <c r="D533" s="156"/>
      <c r="E533" s="31" t="s">
        <v>144</v>
      </c>
      <c r="F533" s="23" t="s">
        <v>49</v>
      </c>
      <c r="G533" s="374"/>
      <c r="H533" s="133"/>
      <c r="I533" s="156"/>
      <c r="J533" s="133"/>
      <c r="K533" s="330"/>
      <c r="L533" s="330"/>
      <c r="M533" s="24"/>
      <c r="N533" s="330"/>
      <c r="O533" s="367"/>
      <c r="P533" s="330"/>
      <c r="Q533" s="330"/>
      <c r="R533" s="330"/>
      <c r="S533" s="330"/>
      <c r="T533" s="330"/>
      <c r="U533" s="330"/>
      <c r="V533" s="330"/>
      <c r="W533" s="330"/>
      <c r="X533" s="330"/>
      <c r="Y533" s="330"/>
      <c r="Z533" s="330"/>
      <c r="AA533" s="330"/>
      <c r="AB533" s="330"/>
      <c r="AC533" s="330"/>
      <c r="AD533" s="330"/>
      <c r="AE533" s="330"/>
      <c r="AF533" s="330"/>
      <c r="AG533" s="330"/>
      <c r="AH533" s="330"/>
      <c r="AI533" s="330"/>
      <c r="AJ533" s="330"/>
      <c r="AK533" s="330"/>
      <c r="AL533" s="330"/>
      <c r="AM533" s="330"/>
    </row>
    <row r="534" spans="1:39" ht="18" customHeight="1" x14ac:dyDescent="0.3">
      <c r="A534" s="432"/>
      <c r="B534" s="423"/>
      <c r="C534" s="133"/>
      <c r="D534" s="156"/>
      <c r="E534" s="31" t="s">
        <v>48</v>
      </c>
      <c r="F534" s="23" t="s">
        <v>49</v>
      </c>
      <c r="G534" s="374"/>
      <c r="H534" s="133"/>
      <c r="I534" s="156"/>
      <c r="J534" s="133"/>
      <c r="K534" s="330"/>
      <c r="L534" s="330"/>
      <c r="M534" s="24"/>
      <c r="N534" s="330"/>
      <c r="O534" s="367"/>
      <c r="P534" s="330"/>
      <c r="Q534" s="330"/>
      <c r="R534" s="330"/>
      <c r="S534" s="330"/>
      <c r="T534" s="330"/>
      <c r="U534" s="330"/>
      <c r="V534" s="330"/>
      <c r="W534" s="330"/>
      <c r="X534" s="330"/>
      <c r="Y534" s="330"/>
      <c r="Z534" s="330"/>
      <c r="AA534" s="330"/>
      <c r="AB534" s="330"/>
      <c r="AC534" s="330"/>
      <c r="AD534" s="330"/>
      <c r="AE534" s="330"/>
      <c r="AF534" s="330"/>
      <c r="AG534" s="330"/>
      <c r="AH534" s="330"/>
      <c r="AI534" s="330"/>
      <c r="AJ534" s="330"/>
      <c r="AK534" s="330"/>
      <c r="AL534" s="330"/>
      <c r="AM534" s="330"/>
    </row>
    <row r="535" spans="1:39" ht="18" customHeight="1" x14ac:dyDescent="0.3">
      <c r="A535" s="431">
        <v>263</v>
      </c>
      <c r="B535" s="422" t="s">
        <v>877</v>
      </c>
      <c r="C535" s="133"/>
      <c r="D535" s="156"/>
      <c r="E535" s="31" t="s">
        <v>144</v>
      </c>
      <c r="F535" s="23" t="s">
        <v>49</v>
      </c>
      <c r="G535" s="374"/>
      <c r="H535" s="133"/>
      <c r="I535" s="156"/>
      <c r="J535" s="133"/>
      <c r="K535" s="330"/>
      <c r="L535" s="330"/>
      <c r="M535" s="24"/>
      <c r="N535" s="330"/>
      <c r="O535" s="367"/>
      <c r="P535" s="330"/>
      <c r="Q535" s="330"/>
      <c r="R535" s="330"/>
      <c r="S535" s="330"/>
      <c r="T535" s="330"/>
      <c r="U535" s="330"/>
      <c r="V535" s="330"/>
      <c r="W535" s="330"/>
      <c r="X535" s="330"/>
      <c r="Y535" s="330"/>
      <c r="Z535" s="330"/>
      <c r="AA535" s="330"/>
      <c r="AB535" s="330"/>
      <c r="AC535" s="330"/>
      <c r="AD535" s="330"/>
      <c r="AE535" s="330"/>
      <c r="AF535" s="330"/>
      <c r="AG535" s="330"/>
      <c r="AH535" s="330"/>
      <c r="AI535" s="330"/>
      <c r="AJ535" s="330"/>
      <c r="AK535" s="330"/>
      <c r="AL535" s="330"/>
      <c r="AM535" s="330"/>
    </row>
    <row r="536" spans="1:39" ht="18" customHeight="1" x14ac:dyDescent="0.3">
      <c r="A536" s="432"/>
      <c r="B536" s="423"/>
      <c r="C536" s="133"/>
      <c r="D536" s="156"/>
      <c r="E536" s="31" t="s">
        <v>48</v>
      </c>
      <c r="F536" s="23" t="s">
        <v>49</v>
      </c>
      <c r="G536" s="374"/>
      <c r="H536" s="133"/>
      <c r="I536" s="156"/>
      <c r="J536" s="133"/>
      <c r="K536" s="330"/>
      <c r="L536" s="330"/>
      <c r="M536" s="24"/>
      <c r="N536" s="330"/>
      <c r="O536" s="367"/>
      <c r="P536" s="330"/>
      <c r="Q536" s="330"/>
      <c r="R536" s="330"/>
      <c r="S536" s="330"/>
      <c r="T536" s="330"/>
      <c r="U536" s="330"/>
      <c r="V536" s="330"/>
      <c r="W536" s="330"/>
      <c r="X536" s="330"/>
      <c r="Y536" s="330"/>
      <c r="Z536" s="330"/>
      <c r="AA536" s="330"/>
      <c r="AB536" s="330"/>
      <c r="AC536" s="330"/>
      <c r="AD536" s="330"/>
      <c r="AE536" s="330"/>
      <c r="AF536" s="330"/>
      <c r="AG536" s="330"/>
      <c r="AH536" s="330"/>
      <c r="AI536" s="330"/>
      <c r="AJ536" s="330"/>
      <c r="AK536" s="330"/>
      <c r="AL536" s="330"/>
      <c r="AM536" s="330"/>
    </row>
    <row r="537" spans="1:39" ht="18" customHeight="1" x14ac:dyDescent="0.3">
      <c r="A537" s="431">
        <v>264</v>
      </c>
      <c r="B537" s="422" t="s">
        <v>878</v>
      </c>
      <c r="C537" s="133"/>
      <c r="D537" s="156"/>
      <c r="E537" s="31" t="s">
        <v>144</v>
      </c>
      <c r="F537" s="23" t="s">
        <v>49</v>
      </c>
      <c r="G537" s="374"/>
      <c r="H537" s="133"/>
      <c r="I537" s="156"/>
      <c r="J537" s="133"/>
      <c r="K537" s="330"/>
      <c r="L537" s="330"/>
      <c r="M537" s="24"/>
      <c r="N537" s="330"/>
      <c r="O537" s="367"/>
      <c r="P537" s="330"/>
      <c r="Q537" s="330"/>
      <c r="R537" s="330"/>
      <c r="S537" s="330"/>
      <c r="T537" s="330"/>
      <c r="U537" s="330"/>
      <c r="V537" s="330"/>
      <c r="W537" s="330"/>
      <c r="X537" s="330"/>
      <c r="Y537" s="330"/>
      <c r="Z537" s="330"/>
      <c r="AA537" s="330"/>
      <c r="AB537" s="330"/>
      <c r="AC537" s="330"/>
      <c r="AD537" s="330"/>
      <c r="AE537" s="330"/>
      <c r="AF537" s="330"/>
      <c r="AG537" s="330"/>
      <c r="AH537" s="330"/>
      <c r="AI537" s="330"/>
      <c r="AJ537" s="330"/>
      <c r="AK537" s="330"/>
      <c r="AL537" s="330"/>
      <c r="AM537" s="330"/>
    </row>
    <row r="538" spans="1:39" ht="18" customHeight="1" x14ac:dyDescent="0.3">
      <c r="A538" s="432"/>
      <c r="B538" s="423"/>
      <c r="C538" s="133"/>
      <c r="D538" s="156"/>
      <c r="E538" s="31" t="s">
        <v>48</v>
      </c>
      <c r="F538" s="23" t="s">
        <v>49</v>
      </c>
      <c r="G538" s="374"/>
      <c r="H538" s="133"/>
      <c r="I538" s="156"/>
      <c r="J538" s="133"/>
      <c r="K538" s="330"/>
      <c r="L538" s="330"/>
      <c r="M538" s="24"/>
      <c r="N538" s="330"/>
      <c r="O538" s="367"/>
      <c r="P538" s="330"/>
      <c r="Q538" s="330"/>
      <c r="R538" s="330"/>
      <c r="S538" s="330"/>
      <c r="T538" s="330"/>
      <c r="U538" s="330"/>
      <c r="V538" s="330"/>
      <c r="W538" s="330"/>
      <c r="X538" s="330"/>
      <c r="Y538" s="330"/>
      <c r="Z538" s="330"/>
      <c r="AA538" s="330"/>
      <c r="AB538" s="330"/>
      <c r="AC538" s="330"/>
      <c r="AD538" s="330"/>
      <c r="AE538" s="330"/>
      <c r="AF538" s="330"/>
      <c r="AG538" s="330"/>
      <c r="AH538" s="330"/>
      <c r="AI538" s="330"/>
      <c r="AJ538" s="330"/>
      <c r="AK538" s="330"/>
      <c r="AL538" s="330"/>
      <c r="AM538" s="330"/>
    </row>
    <row r="539" spans="1:39" ht="18" customHeight="1" x14ac:dyDescent="0.3">
      <c r="A539" s="431">
        <v>265</v>
      </c>
      <c r="B539" s="422" t="s">
        <v>879</v>
      </c>
      <c r="C539" s="133"/>
      <c r="D539" s="156"/>
      <c r="E539" s="31" t="s">
        <v>144</v>
      </c>
      <c r="F539" s="23" t="s">
        <v>49</v>
      </c>
      <c r="G539" s="374"/>
      <c r="H539" s="133"/>
      <c r="I539" s="156"/>
      <c r="J539" s="133"/>
      <c r="K539" s="330"/>
      <c r="L539" s="330"/>
      <c r="M539" s="24"/>
      <c r="N539" s="330"/>
      <c r="O539" s="367"/>
      <c r="P539" s="330"/>
      <c r="Q539" s="330"/>
      <c r="R539" s="330"/>
      <c r="S539" s="330"/>
      <c r="T539" s="330"/>
      <c r="U539" s="330"/>
      <c r="V539" s="330"/>
      <c r="W539" s="330"/>
      <c r="X539" s="330"/>
      <c r="Y539" s="330"/>
      <c r="Z539" s="330"/>
      <c r="AA539" s="330"/>
      <c r="AB539" s="330"/>
      <c r="AC539" s="330"/>
      <c r="AD539" s="330"/>
      <c r="AE539" s="330"/>
      <c r="AF539" s="330"/>
      <c r="AG539" s="330"/>
      <c r="AH539" s="330"/>
      <c r="AI539" s="330"/>
      <c r="AJ539" s="330"/>
      <c r="AK539" s="330"/>
      <c r="AL539" s="330"/>
      <c r="AM539" s="330"/>
    </row>
    <row r="540" spans="1:39" ht="18" customHeight="1" x14ac:dyDescent="0.3">
      <c r="A540" s="432"/>
      <c r="B540" s="423"/>
      <c r="C540" s="133"/>
      <c r="D540" s="156"/>
      <c r="E540" s="31" t="s">
        <v>48</v>
      </c>
      <c r="F540" s="23" t="s">
        <v>49</v>
      </c>
      <c r="G540" s="374"/>
      <c r="H540" s="133"/>
      <c r="I540" s="156"/>
      <c r="J540" s="133"/>
      <c r="K540" s="330"/>
      <c r="L540" s="330"/>
      <c r="M540" s="24"/>
      <c r="N540" s="330"/>
      <c r="O540" s="367"/>
      <c r="P540" s="330"/>
      <c r="Q540" s="330"/>
      <c r="R540" s="330"/>
      <c r="S540" s="330"/>
      <c r="T540" s="330"/>
      <c r="U540" s="330"/>
      <c r="V540" s="330"/>
      <c r="W540" s="330"/>
      <c r="X540" s="330"/>
      <c r="Y540" s="330"/>
      <c r="Z540" s="330"/>
      <c r="AA540" s="330"/>
      <c r="AB540" s="330"/>
      <c r="AC540" s="330"/>
      <c r="AD540" s="330"/>
      <c r="AE540" s="330"/>
      <c r="AF540" s="330"/>
      <c r="AG540" s="330"/>
      <c r="AH540" s="330"/>
      <c r="AI540" s="330"/>
      <c r="AJ540" s="330"/>
      <c r="AK540" s="330"/>
      <c r="AL540" s="330"/>
      <c r="AM540" s="330"/>
    </row>
    <row r="541" spans="1:39" ht="18" customHeight="1" x14ac:dyDescent="0.3">
      <c r="A541" s="431">
        <v>266</v>
      </c>
      <c r="B541" s="422" t="s">
        <v>880</v>
      </c>
      <c r="C541" s="133"/>
      <c r="D541" s="156"/>
      <c r="E541" s="31" t="s">
        <v>144</v>
      </c>
      <c r="F541" s="23" t="s">
        <v>49</v>
      </c>
      <c r="G541" s="374"/>
      <c r="H541" s="133"/>
      <c r="I541" s="156"/>
      <c r="J541" s="133"/>
      <c r="K541" s="330"/>
      <c r="L541" s="330"/>
      <c r="M541" s="24"/>
      <c r="N541" s="330"/>
      <c r="O541" s="367"/>
      <c r="P541" s="330"/>
      <c r="Q541" s="330"/>
      <c r="R541" s="330"/>
      <c r="S541" s="330"/>
      <c r="T541" s="330"/>
      <c r="U541" s="330"/>
      <c r="V541" s="330"/>
      <c r="W541" s="330"/>
      <c r="X541" s="330"/>
      <c r="Y541" s="330"/>
      <c r="Z541" s="330"/>
      <c r="AA541" s="330"/>
      <c r="AB541" s="330"/>
      <c r="AC541" s="330"/>
      <c r="AD541" s="330"/>
      <c r="AE541" s="330"/>
      <c r="AF541" s="330"/>
      <c r="AG541" s="330"/>
      <c r="AH541" s="330"/>
      <c r="AI541" s="330"/>
      <c r="AJ541" s="330"/>
      <c r="AK541" s="330"/>
      <c r="AL541" s="330"/>
      <c r="AM541" s="330"/>
    </row>
    <row r="542" spans="1:39" ht="18" customHeight="1" x14ac:dyDescent="0.3">
      <c r="A542" s="432"/>
      <c r="B542" s="423"/>
      <c r="C542" s="133"/>
      <c r="D542" s="156"/>
      <c r="E542" s="31" t="s">
        <v>48</v>
      </c>
      <c r="F542" s="23" t="s">
        <v>49</v>
      </c>
      <c r="G542" s="374"/>
      <c r="H542" s="133"/>
      <c r="I542" s="156"/>
      <c r="J542" s="133"/>
      <c r="K542" s="330"/>
      <c r="L542" s="330"/>
      <c r="M542" s="24"/>
      <c r="N542" s="330"/>
      <c r="O542" s="367"/>
      <c r="P542" s="330"/>
      <c r="Q542" s="330"/>
      <c r="R542" s="330"/>
      <c r="S542" s="330"/>
      <c r="T542" s="330"/>
      <c r="U542" s="330"/>
      <c r="V542" s="330"/>
      <c r="W542" s="330"/>
      <c r="X542" s="330"/>
      <c r="Y542" s="330"/>
      <c r="Z542" s="330"/>
      <c r="AA542" s="330"/>
      <c r="AB542" s="330"/>
      <c r="AC542" s="330"/>
      <c r="AD542" s="330"/>
      <c r="AE542" s="330"/>
      <c r="AF542" s="330"/>
      <c r="AG542" s="330"/>
      <c r="AH542" s="330"/>
      <c r="AI542" s="330"/>
      <c r="AJ542" s="330"/>
      <c r="AK542" s="330"/>
      <c r="AL542" s="330"/>
      <c r="AM542" s="330"/>
    </row>
    <row r="543" spans="1:39" ht="18" customHeight="1" x14ac:dyDescent="0.3">
      <c r="A543" s="431">
        <v>267</v>
      </c>
      <c r="B543" s="422" t="s">
        <v>881</v>
      </c>
      <c r="C543" s="133"/>
      <c r="D543" s="156"/>
      <c r="E543" s="31" t="s">
        <v>144</v>
      </c>
      <c r="F543" s="23" t="s">
        <v>49</v>
      </c>
      <c r="G543" s="374"/>
      <c r="H543" s="133"/>
      <c r="I543" s="156"/>
      <c r="J543" s="133"/>
      <c r="K543" s="330"/>
      <c r="L543" s="330"/>
      <c r="M543" s="24"/>
      <c r="N543" s="330"/>
      <c r="O543" s="367"/>
      <c r="P543" s="330"/>
      <c r="Q543" s="330"/>
      <c r="R543" s="330"/>
      <c r="S543" s="330"/>
      <c r="T543" s="330"/>
      <c r="U543" s="330"/>
      <c r="V543" s="330"/>
      <c r="W543" s="330"/>
      <c r="X543" s="330"/>
      <c r="Y543" s="330"/>
      <c r="Z543" s="330"/>
      <c r="AA543" s="330"/>
      <c r="AB543" s="330"/>
      <c r="AC543" s="330"/>
      <c r="AD543" s="330"/>
      <c r="AE543" s="330"/>
      <c r="AF543" s="330"/>
      <c r="AG543" s="330"/>
      <c r="AH543" s="330"/>
      <c r="AI543" s="330"/>
      <c r="AJ543" s="330"/>
      <c r="AK543" s="330"/>
      <c r="AL543" s="330"/>
      <c r="AM543" s="330"/>
    </row>
    <row r="544" spans="1:39" ht="18" customHeight="1" x14ac:dyDescent="0.3">
      <c r="A544" s="432"/>
      <c r="B544" s="423"/>
      <c r="C544" s="133"/>
      <c r="D544" s="156"/>
      <c r="E544" s="31" t="s">
        <v>48</v>
      </c>
      <c r="F544" s="23" t="s">
        <v>49</v>
      </c>
      <c r="G544" s="374"/>
      <c r="H544" s="133"/>
      <c r="I544" s="156"/>
      <c r="J544" s="133"/>
      <c r="K544" s="330"/>
      <c r="L544" s="330"/>
      <c r="M544" s="24"/>
      <c r="N544" s="330"/>
      <c r="O544" s="367"/>
      <c r="P544" s="330"/>
      <c r="Q544" s="330"/>
      <c r="R544" s="330"/>
      <c r="S544" s="330"/>
      <c r="T544" s="330"/>
      <c r="U544" s="330"/>
      <c r="V544" s="330"/>
      <c r="W544" s="330"/>
      <c r="X544" s="330"/>
      <c r="Y544" s="330"/>
      <c r="Z544" s="330"/>
      <c r="AA544" s="330"/>
      <c r="AB544" s="330"/>
      <c r="AC544" s="330"/>
      <c r="AD544" s="330"/>
      <c r="AE544" s="330"/>
      <c r="AF544" s="330"/>
      <c r="AG544" s="330"/>
      <c r="AH544" s="330"/>
      <c r="AI544" s="330"/>
      <c r="AJ544" s="330"/>
      <c r="AK544" s="330"/>
      <c r="AL544" s="330"/>
      <c r="AM544" s="330"/>
    </row>
    <row r="545" spans="1:39" ht="18" customHeight="1" x14ac:dyDescent="0.3">
      <c r="A545" s="431">
        <v>268</v>
      </c>
      <c r="B545" s="422" t="s">
        <v>882</v>
      </c>
      <c r="C545" s="133"/>
      <c r="D545" s="156"/>
      <c r="E545" s="31" t="s">
        <v>144</v>
      </c>
      <c r="F545" s="23" t="s">
        <v>49</v>
      </c>
      <c r="G545" s="374"/>
      <c r="H545" s="133"/>
      <c r="I545" s="156"/>
      <c r="J545" s="133"/>
      <c r="K545" s="330"/>
      <c r="L545" s="330"/>
      <c r="M545" s="24"/>
      <c r="N545" s="330"/>
      <c r="O545" s="367"/>
      <c r="P545" s="330"/>
      <c r="Q545" s="330"/>
      <c r="R545" s="330"/>
      <c r="S545" s="330"/>
      <c r="T545" s="330"/>
      <c r="U545" s="330"/>
      <c r="V545" s="330"/>
      <c r="W545" s="330"/>
      <c r="X545" s="330"/>
      <c r="Y545" s="330"/>
      <c r="Z545" s="330"/>
      <c r="AA545" s="330"/>
      <c r="AB545" s="330"/>
      <c r="AC545" s="330"/>
      <c r="AD545" s="330"/>
      <c r="AE545" s="330"/>
      <c r="AF545" s="330"/>
      <c r="AG545" s="330"/>
      <c r="AH545" s="330"/>
      <c r="AI545" s="330"/>
      <c r="AJ545" s="330"/>
      <c r="AK545" s="330"/>
      <c r="AL545" s="330"/>
      <c r="AM545" s="330"/>
    </row>
    <row r="546" spans="1:39" ht="18" customHeight="1" x14ac:dyDescent="0.3">
      <c r="A546" s="432"/>
      <c r="B546" s="423"/>
      <c r="C546" s="133"/>
      <c r="D546" s="156"/>
      <c r="E546" s="31" t="s">
        <v>48</v>
      </c>
      <c r="F546" s="23" t="s">
        <v>49</v>
      </c>
      <c r="G546" s="374"/>
      <c r="H546" s="133"/>
      <c r="I546" s="156"/>
      <c r="J546" s="133"/>
      <c r="K546" s="330"/>
      <c r="L546" s="330"/>
      <c r="M546" s="24"/>
      <c r="N546" s="330"/>
      <c r="O546" s="367"/>
      <c r="P546" s="330"/>
      <c r="Q546" s="330"/>
      <c r="R546" s="330"/>
      <c r="S546" s="330"/>
      <c r="T546" s="330"/>
      <c r="U546" s="330"/>
      <c r="V546" s="330"/>
      <c r="W546" s="330"/>
      <c r="X546" s="330"/>
      <c r="Y546" s="330"/>
      <c r="Z546" s="330"/>
      <c r="AA546" s="330"/>
      <c r="AB546" s="330"/>
      <c r="AC546" s="330"/>
      <c r="AD546" s="330"/>
      <c r="AE546" s="330"/>
      <c r="AF546" s="330"/>
      <c r="AG546" s="330"/>
      <c r="AH546" s="330"/>
      <c r="AI546" s="330"/>
      <c r="AJ546" s="330"/>
      <c r="AK546" s="330"/>
      <c r="AL546" s="330"/>
      <c r="AM546" s="330"/>
    </row>
    <row r="547" spans="1:39" ht="18" customHeight="1" x14ac:dyDescent="0.3">
      <c r="A547" s="431">
        <v>269</v>
      </c>
      <c r="B547" s="422" t="s">
        <v>883</v>
      </c>
      <c r="C547" s="133"/>
      <c r="D547" s="156"/>
      <c r="E547" s="31" t="s">
        <v>144</v>
      </c>
      <c r="F547" s="23" t="s">
        <v>49</v>
      </c>
      <c r="G547" s="374"/>
      <c r="H547" s="133"/>
      <c r="I547" s="156"/>
      <c r="J547" s="133"/>
      <c r="K547" s="330"/>
      <c r="L547" s="330"/>
      <c r="M547" s="24"/>
      <c r="N547" s="330"/>
      <c r="O547" s="367"/>
      <c r="P547" s="330"/>
      <c r="Q547" s="330"/>
      <c r="R547" s="330"/>
      <c r="S547" s="330"/>
      <c r="T547" s="330"/>
      <c r="U547" s="330"/>
      <c r="V547" s="330"/>
      <c r="W547" s="330"/>
      <c r="X547" s="330"/>
      <c r="Y547" s="330"/>
      <c r="Z547" s="330"/>
      <c r="AA547" s="330"/>
      <c r="AB547" s="330"/>
      <c r="AC547" s="330"/>
      <c r="AD547" s="330"/>
      <c r="AE547" s="330"/>
      <c r="AF547" s="330"/>
      <c r="AG547" s="330"/>
      <c r="AH547" s="330"/>
      <c r="AI547" s="330"/>
      <c r="AJ547" s="330"/>
      <c r="AK547" s="330"/>
      <c r="AL547" s="330"/>
      <c r="AM547" s="330"/>
    </row>
    <row r="548" spans="1:39" ht="18" customHeight="1" x14ac:dyDescent="0.3">
      <c r="A548" s="432"/>
      <c r="B548" s="423"/>
      <c r="C548" s="133"/>
      <c r="D548" s="156"/>
      <c r="E548" s="31" t="s">
        <v>48</v>
      </c>
      <c r="F548" s="23" t="s">
        <v>49</v>
      </c>
      <c r="G548" s="374"/>
      <c r="H548" s="133"/>
      <c r="I548" s="156"/>
      <c r="J548" s="133"/>
      <c r="K548" s="330"/>
      <c r="L548" s="330"/>
      <c r="M548" s="24"/>
      <c r="N548" s="330"/>
      <c r="O548" s="367"/>
      <c r="P548" s="330"/>
      <c r="Q548" s="330"/>
      <c r="R548" s="330"/>
      <c r="S548" s="330"/>
      <c r="T548" s="330"/>
      <c r="U548" s="330"/>
      <c r="V548" s="330"/>
      <c r="W548" s="330"/>
      <c r="X548" s="330"/>
      <c r="Y548" s="330"/>
      <c r="Z548" s="330"/>
      <c r="AA548" s="330"/>
      <c r="AB548" s="330"/>
      <c r="AC548" s="330"/>
      <c r="AD548" s="330"/>
      <c r="AE548" s="330"/>
      <c r="AF548" s="330"/>
      <c r="AG548" s="330"/>
      <c r="AH548" s="330"/>
      <c r="AI548" s="330"/>
      <c r="AJ548" s="330"/>
      <c r="AK548" s="330"/>
      <c r="AL548" s="330"/>
      <c r="AM548" s="330"/>
    </row>
    <row r="549" spans="1:39" ht="18" customHeight="1" x14ac:dyDescent="0.3">
      <c r="A549" s="431">
        <v>270</v>
      </c>
      <c r="B549" s="422" t="s">
        <v>884</v>
      </c>
      <c r="C549" s="133"/>
      <c r="D549" s="156"/>
      <c r="E549" s="31" t="s">
        <v>144</v>
      </c>
      <c r="F549" s="23" t="s">
        <v>49</v>
      </c>
      <c r="G549" s="374"/>
      <c r="H549" s="133"/>
      <c r="I549" s="156"/>
      <c r="J549" s="133"/>
      <c r="K549" s="330"/>
      <c r="L549" s="330"/>
      <c r="M549" s="24"/>
      <c r="N549" s="330"/>
      <c r="O549" s="367"/>
      <c r="P549" s="330"/>
      <c r="Q549" s="330"/>
      <c r="R549" s="330"/>
      <c r="S549" s="330"/>
      <c r="T549" s="330"/>
      <c r="U549" s="330"/>
      <c r="V549" s="330"/>
      <c r="W549" s="330"/>
      <c r="X549" s="330"/>
      <c r="Y549" s="330"/>
      <c r="Z549" s="330"/>
      <c r="AA549" s="330"/>
      <c r="AB549" s="330"/>
      <c r="AC549" s="330"/>
      <c r="AD549" s="330"/>
      <c r="AE549" s="330"/>
      <c r="AF549" s="330"/>
      <c r="AG549" s="330"/>
      <c r="AH549" s="330"/>
      <c r="AI549" s="330"/>
      <c r="AJ549" s="330"/>
      <c r="AK549" s="330"/>
      <c r="AL549" s="330"/>
      <c r="AM549" s="330"/>
    </row>
    <row r="550" spans="1:39" ht="18" customHeight="1" x14ac:dyDescent="0.3">
      <c r="A550" s="432"/>
      <c r="B550" s="423"/>
      <c r="C550" s="133"/>
      <c r="D550" s="156"/>
      <c r="E550" s="31" t="s">
        <v>48</v>
      </c>
      <c r="F550" s="23" t="s">
        <v>49</v>
      </c>
      <c r="G550" s="374"/>
      <c r="H550" s="133"/>
      <c r="I550" s="156"/>
      <c r="J550" s="133"/>
      <c r="K550" s="330"/>
      <c r="L550" s="330"/>
      <c r="M550" s="24"/>
      <c r="N550" s="330"/>
      <c r="O550" s="367"/>
      <c r="P550" s="330"/>
      <c r="Q550" s="330"/>
      <c r="R550" s="330"/>
      <c r="S550" s="330"/>
      <c r="T550" s="330"/>
      <c r="U550" s="330"/>
      <c r="V550" s="330"/>
      <c r="W550" s="330"/>
      <c r="X550" s="330"/>
      <c r="Y550" s="330"/>
      <c r="Z550" s="330"/>
      <c r="AA550" s="330"/>
      <c r="AB550" s="330"/>
      <c r="AC550" s="330"/>
      <c r="AD550" s="330"/>
      <c r="AE550" s="330"/>
      <c r="AF550" s="330"/>
      <c r="AG550" s="330"/>
      <c r="AH550" s="330"/>
      <c r="AI550" s="330"/>
      <c r="AJ550" s="330"/>
      <c r="AK550" s="330"/>
      <c r="AL550" s="330"/>
      <c r="AM550" s="330"/>
    </row>
    <row r="551" spans="1:39" ht="18" customHeight="1" x14ac:dyDescent="0.3">
      <c r="A551" s="431">
        <v>271</v>
      </c>
      <c r="B551" s="422" t="s">
        <v>885</v>
      </c>
      <c r="C551" s="133"/>
      <c r="D551" s="156"/>
      <c r="E551" s="31" t="s">
        <v>144</v>
      </c>
      <c r="F551" s="23" t="s">
        <v>49</v>
      </c>
      <c r="G551" s="374"/>
      <c r="H551" s="133"/>
      <c r="I551" s="156"/>
      <c r="J551" s="133"/>
      <c r="K551" s="330"/>
      <c r="L551" s="330"/>
      <c r="M551" s="24"/>
      <c r="N551" s="330"/>
      <c r="O551" s="367"/>
      <c r="P551" s="330"/>
      <c r="Q551" s="330"/>
      <c r="R551" s="330"/>
      <c r="S551" s="330"/>
      <c r="T551" s="330"/>
      <c r="U551" s="330"/>
      <c r="V551" s="330"/>
      <c r="W551" s="330"/>
      <c r="X551" s="330"/>
      <c r="Y551" s="330"/>
      <c r="Z551" s="330"/>
      <c r="AA551" s="330"/>
      <c r="AB551" s="330"/>
      <c r="AC551" s="330"/>
      <c r="AD551" s="330"/>
      <c r="AE551" s="330"/>
      <c r="AF551" s="330"/>
      <c r="AG551" s="330"/>
      <c r="AH551" s="330"/>
      <c r="AI551" s="330"/>
      <c r="AJ551" s="330"/>
      <c r="AK551" s="330"/>
      <c r="AL551" s="330"/>
      <c r="AM551" s="330"/>
    </row>
    <row r="552" spans="1:39" ht="18" customHeight="1" x14ac:dyDescent="0.3">
      <c r="A552" s="432"/>
      <c r="B552" s="423"/>
      <c r="C552" s="133"/>
      <c r="D552" s="156"/>
      <c r="E552" s="31" t="s">
        <v>48</v>
      </c>
      <c r="F552" s="23" t="s">
        <v>49</v>
      </c>
      <c r="G552" s="374"/>
      <c r="H552" s="133"/>
      <c r="I552" s="156"/>
      <c r="J552" s="133"/>
      <c r="K552" s="330"/>
      <c r="L552" s="330"/>
      <c r="M552" s="24"/>
      <c r="N552" s="330"/>
      <c r="O552" s="367"/>
      <c r="P552" s="330"/>
      <c r="Q552" s="330"/>
      <c r="R552" s="330"/>
      <c r="S552" s="330"/>
      <c r="T552" s="330"/>
      <c r="U552" s="330"/>
      <c r="V552" s="330"/>
      <c r="W552" s="330"/>
      <c r="X552" s="330"/>
      <c r="Y552" s="330"/>
      <c r="Z552" s="330"/>
      <c r="AA552" s="330"/>
      <c r="AB552" s="330"/>
      <c r="AC552" s="330"/>
      <c r="AD552" s="330"/>
      <c r="AE552" s="330"/>
      <c r="AF552" s="330"/>
      <c r="AG552" s="330"/>
      <c r="AH552" s="330"/>
      <c r="AI552" s="330"/>
      <c r="AJ552" s="330"/>
      <c r="AK552" s="330"/>
      <c r="AL552" s="330"/>
      <c r="AM552" s="330"/>
    </row>
    <row r="553" spans="1:39" s="308" customFormat="1" ht="18" customHeight="1" x14ac:dyDescent="0.3">
      <c r="A553" s="431">
        <v>272</v>
      </c>
      <c r="B553" s="422" t="s">
        <v>964</v>
      </c>
      <c r="C553" s="87" t="s">
        <v>268</v>
      </c>
      <c r="D553" s="87" t="s">
        <v>958</v>
      </c>
      <c r="E553" s="25" t="s">
        <v>144</v>
      </c>
      <c r="F553" s="85" t="s">
        <v>49</v>
      </c>
      <c r="G553" s="139"/>
      <c r="H553" s="364">
        <v>42</v>
      </c>
      <c r="I553" s="378"/>
      <c r="J553" s="364">
        <v>6</v>
      </c>
      <c r="K553" s="116"/>
      <c r="L553" s="116"/>
      <c r="M553" s="116">
        <v>5271</v>
      </c>
      <c r="N553" s="116">
        <v>7193</v>
      </c>
      <c r="O553" s="117">
        <v>918</v>
      </c>
      <c r="P553" s="117" t="s">
        <v>207</v>
      </c>
      <c r="Q553" s="117">
        <v>670</v>
      </c>
      <c r="R553" s="117" t="s">
        <v>207</v>
      </c>
      <c r="S553" s="117">
        <v>489</v>
      </c>
      <c r="T553" s="117" t="s">
        <v>207</v>
      </c>
      <c r="U553" s="117">
        <v>486</v>
      </c>
      <c r="V553" s="117" t="s">
        <v>207</v>
      </c>
      <c r="W553" s="117">
        <v>470</v>
      </c>
      <c r="X553" s="117" t="s">
        <v>207</v>
      </c>
      <c r="Y553" s="117">
        <v>475</v>
      </c>
      <c r="Z553" s="117" t="s">
        <v>207</v>
      </c>
      <c r="AA553" s="117">
        <v>433</v>
      </c>
      <c r="AB553" s="117" t="s">
        <v>207</v>
      </c>
      <c r="AC553" s="117">
        <v>504</v>
      </c>
      <c r="AD553" s="117" t="s">
        <v>207</v>
      </c>
      <c r="AE553" s="117">
        <v>45</v>
      </c>
      <c r="AF553" s="117" t="s">
        <v>207</v>
      </c>
      <c r="AG553" s="117">
        <v>456</v>
      </c>
      <c r="AH553" s="117" t="s">
        <v>207</v>
      </c>
      <c r="AI553" s="117">
        <v>661</v>
      </c>
      <c r="AJ553" s="117" t="s">
        <v>207</v>
      </c>
      <c r="AK553" s="117">
        <v>755</v>
      </c>
      <c r="AL553" s="117" t="s">
        <v>207</v>
      </c>
      <c r="AM553" s="117">
        <f>SUM(O553,Q553,S553,U553,W553,Y553,AA553,AC553,AE553,AG553,AI553,AK553)</f>
        <v>6362</v>
      </c>
    </row>
    <row r="554" spans="1:39" ht="18" customHeight="1" x14ac:dyDescent="0.3">
      <c r="A554" s="432"/>
      <c r="B554" s="423"/>
      <c r="C554" s="133"/>
      <c r="D554" s="156"/>
      <c r="E554" s="31" t="s">
        <v>48</v>
      </c>
      <c r="F554" s="23" t="s">
        <v>49</v>
      </c>
      <c r="G554" s="374"/>
      <c r="H554" s="133"/>
      <c r="I554" s="156"/>
      <c r="J554" s="133"/>
      <c r="K554" s="330"/>
      <c r="L554" s="330"/>
      <c r="M554" s="24"/>
      <c r="N554" s="330"/>
      <c r="O554" s="367"/>
      <c r="P554" s="330"/>
      <c r="Q554" s="330"/>
      <c r="R554" s="330"/>
      <c r="S554" s="330"/>
      <c r="T554" s="330"/>
      <c r="U554" s="330"/>
      <c r="V554" s="330"/>
      <c r="W554" s="330"/>
      <c r="X554" s="330"/>
      <c r="Y554" s="330"/>
      <c r="Z554" s="330"/>
      <c r="AA554" s="330"/>
      <c r="AB554" s="330"/>
      <c r="AC554" s="330"/>
      <c r="AD554" s="330"/>
      <c r="AE554" s="330"/>
      <c r="AF554" s="330"/>
      <c r="AG554" s="330"/>
      <c r="AH554" s="330"/>
      <c r="AI554" s="330"/>
      <c r="AJ554" s="330"/>
      <c r="AK554" s="330"/>
      <c r="AL554" s="330"/>
      <c r="AM554" s="330"/>
    </row>
    <row r="555" spans="1:39" s="90" customFormat="1" ht="18" customHeight="1" x14ac:dyDescent="0.3">
      <c r="A555" s="431">
        <v>273</v>
      </c>
      <c r="B555" s="422" t="s">
        <v>965</v>
      </c>
      <c r="C555" s="84" t="s">
        <v>268</v>
      </c>
      <c r="D555" s="88" t="s">
        <v>958</v>
      </c>
      <c r="E555" s="31" t="s">
        <v>144</v>
      </c>
      <c r="F555" s="85" t="s">
        <v>49</v>
      </c>
      <c r="G555" s="375"/>
      <c r="H555" s="365">
        <v>42</v>
      </c>
      <c r="I555" s="379"/>
      <c r="J555" s="365">
        <v>6</v>
      </c>
      <c r="K555" s="116"/>
      <c r="L555" s="116"/>
      <c r="M555" s="119">
        <v>7760</v>
      </c>
      <c r="N555" s="119">
        <v>7861</v>
      </c>
      <c r="O555" s="119">
        <v>800</v>
      </c>
      <c r="P555" s="119" t="s">
        <v>207</v>
      </c>
      <c r="Q555" s="119">
        <v>688</v>
      </c>
      <c r="R555" s="119" t="s">
        <v>207</v>
      </c>
      <c r="S555" s="119">
        <v>693</v>
      </c>
      <c r="T555" s="119" t="s">
        <v>207</v>
      </c>
      <c r="U555" s="119">
        <v>550</v>
      </c>
      <c r="V555" s="119" t="s">
        <v>207</v>
      </c>
      <c r="W555" s="119">
        <v>453</v>
      </c>
      <c r="X555" s="119" t="s">
        <v>207</v>
      </c>
      <c r="Y555" s="119">
        <v>316</v>
      </c>
      <c r="Z555" s="119" t="s">
        <v>207</v>
      </c>
      <c r="AA555" s="119">
        <v>376</v>
      </c>
      <c r="AB555" s="119" t="s">
        <v>207</v>
      </c>
      <c r="AC555" s="119">
        <v>326</v>
      </c>
      <c r="AD555" s="119" t="s">
        <v>207</v>
      </c>
      <c r="AE555" s="119">
        <v>413</v>
      </c>
      <c r="AF555" s="119" t="s">
        <v>207</v>
      </c>
      <c r="AG555" s="119">
        <v>625</v>
      </c>
      <c r="AH555" s="119" t="s">
        <v>207</v>
      </c>
      <c r="AI555" s="119">
        <v>776</v>
      </c>
      <c r="AJ555" s="119" t="s">
        <v>207</v>
      </c>
      <c r="AK555" s="119">
        <v>881</v>
      </c>
      <c r="AL555" s="119" t="s">
        <v>207</v>
      </c>
      <c r="AM555" s="117">
        <f t="shared" ref="AM555" si="14">SUM(O555,Q555,S555,U555,W555,Y555,AA555,AC555,AE555,AG555,AI555,AK555)</f>
        <v>6897</v>
      </c>
    </row>
    <row r="556" spans="1:39" ht="18" customHeight="1" x14ac:dyDescent="0.3">
      <c r="A556" s="432"/>
      <c r="B556" s="423"/>
      <c r="C556" s="133"/>
      <c r="D556" s="156"/>
      <c r="E556" s="31" t="s">
        <v>48</v>
      </c>
      <c r="F556" s="23" t="s">
        <v>49</v>
      </c>
      <c r="G556" s="374"/>
      <c r="H556" s="133"/>
      <c r="I556" s="156"/>
      <c r="J556" s="133"/>
      <c r="K556" s="330"/>
      <c r="L556" s="330"/>
      <c r="M556" s="24"/>
      <c r="N556" s="330"/>
      <c r="O556" s="367"/>
      <c r="P556" s="330"/>
      <c r="Q556" s="330"/>
      <c r="R556" s="330"/>
      <c r="S556" s="330"/>
      <c r="T556" s="330"/>
      <c r="U556" s="330"/>
      <c r="V556" s="330"/>
      <c r="W556" s="330"/>
      <c r="X556" s="330"/>
      <c r="Y556" s="330"/>
      <c r="Z556" s="330"/>
      <c r="AA556" s="330"/>
      <c r="AB556" s="330"/>
      <c r="AC556" s="330"/>
      <c r="AD556" s="330"/>
      <c r="AE556" s="330"/>
      <c r="AF556" s="330"/>
      <c r="AG556" s="330"/>
      <c r="AH556" s="330"/>
      <c r="AI556" s="330"/>
      <c r="AJ556" s="330"/>
      <c r="AK556" s="330"/>
      <c r="AL556" s="330"/>
      <c r="AM556" s="330"/>
    </row>
    <row r="557" spans="1:39" ht="18" customHeight="1" x14ac:dyDescent="0.3">
      <c r="A557" s="431">
        <v>274</v>
      </c>
      <c r="B557" s="422" t="s">
        <v>966</v>
      </c>
      <c r="C557" s="133"/>
      <c r="D557" s="156"/>
      <c r="E557" s="31" t="s">
        <v>144</v>
      </c>
      <c r="F557" s="23" t="s">
        <v>49</v>
      </c>
      <c r="G557" s="374"/>
      <c r="H557" s="133"/>
      <c r="I557" s="156"/>
      <c r="J557" s="133"/>
      <c r="K557" s="330"/>
      <c r="L557" s="330"/>
      <c r="M557" s="24"/>
      <c r="N557" s="330"/>
      <c r="O557" s="367"/>
      <c r="P557" s="330"/>
      <c r="Q557" s="330"/>
      <c r="R557" s="330"/>
      <c r="S557" s="330"/>
      <c r="T557" s="330"/>
      <c r="U557" s="330"/>
      <c r="V557" s="330"/>
      <c r="W557" s="330"/>
      <c r="X557" s="330"/>
      <c r="Y557" s="330"/>
      <c r="Z557" s="330"/>
      <c r="AA557" s="330"/>
      <c r="AB557" s="330"/>
      <c r="AC557" s="330"/>
      <c r="AD557" s="330"/>
      <c r="AE557" s="330"/>
      <c r="AF557" s="330"/>
      <c r="AG557" s="330"/>
      <c r="AH557" s="330"/>
      <c r="AI557" s="330"/>
      <c r="AJ557" s="330"/>
      <c r="AK557" s="330"/>
      <c r="AL557" s="330"/>
      <c r="AM557" s="330"/>
    </row>
    <row r="558" spans="1:39" s="90" customFormat="1" ht="18" customHeight="1" x14ac:dyDescent="0.3">
      <c r="A558" s="432"/>
      <c r="B558" s="423"/>
      <c r="C558" s="84" t="s">
        <v>268</v>
      </c>
      <c r="D558" s="88" t="s">
        <v>958</v>
      </c>
      <c r="E558" s="31" t="s">
        <v>48</v>
      </c>
      <c r="F558" s="85" t="s">
        <v>49</v>
      </c>
      <c r="G558" s="375"/>
      <c r="H558" s="365">
        <v>42</v>
      </c>
      <c r="I558" s="379"/>
      <c r="J558" s="365">
        <v>6</v>
      </c>
      <c r="K558" s="116"/>
      <c r="L558" s="116"/>
      <c r="M558" s="119">
        <v>8790</v>
      </c>
      <c r="N558" s="119">
        <v>7937</v>
      </c>
      <c r="O558" s="119">
        <v>1118</v>
      </c>
      <c r="P558" s="119" t="s">
        <v>207</v>
      </c>
      <c r="Q558" s="119">
        <v>817</v>
      </c>
      <c r="R558" s="119" t="s">
        <v>207</v>
      </c>
      <c r="S558" s="119">
        <v>819</v>
      </c>
      <c r="T558" s="119" t="s">
        <v>207</v>
      </c>
      <c r="U558" s="119">
        <v>604</v>
      </c>
      <c r="V558" s="119" t="s">
        <v>207</v>
      </c>
      <c r="W558" s="119">
        <v>500</v>
      </c>
      <c r="X558" s="119" t="s">
        <v>207</v>
      </c>
      <c r="Y558" s="119">
        <v>589</v>
      </c>
      <c r="Z558" s="119" t="s">
        <v>207</v>
      </c>
      <c r="AA558" s="119">
        <v>758</v>
      </c>
      <c r="AB558" s="119" t="s">
        <v>207</v>
      </c>
      <c r="AC558" s="119">
        <v>585</v>
      </c>
      <c r="AD558" s="119" t="s">
        <v>207</v>
      </c>
      <c r="AE558" s="119">
        <v>690</v>
      </c>
      <c r="AF558" s="119" t="s">
        <v>207</v>
      </c>
      <c r="AG558" s="119">
        <v>830</v>
      </c>
      <c r="AH558" s="119" t="s">
        <v>207</v>
      </c>
      <c r="AI558" s="119">
        <v>989</v>
      </c>
      <c r="AJ558" s="119" t="s">
        <v>207</v>
      </c>
      <c r="AK558" s="119">
        <v>1059</v>
      </c>
      <c r="AL558" s="119" t="s">
        <v>207</v>
      </c>
      <c r="AM558" s="117">
        <f t="shared" ref="AM558" si="15">SUM(O558,Q558,S558,U558,W558,Y558,AA558,AC558,AE558,AG558,AI558,AK558)</f>
        <v>9358</v>
      </c>
    </row>
    <row r="559" spans="1:39" s="90" customFormat="1" ht="18" customHeight="1" x14ac:dyDescent="0.3">
      <c r="A559" s="431">
        <v>275</v>
      </c>
      <c r="B559" s="422" t="s">
        <v>967</v>
      </c>
      <c r="C559" s="84" t="s">
        <v>268</v>
      </c>
      <c r="D559" s="88" t="s">
        <v>958</v>
      </c>
      <c r="E559" s="31" t="s">
        <v>144</v>
      </c>
      <c r="F559" s="85" t="s">
        <v>49</v>
      </c>
      <c r="G559" s="375"/>
      <c r="H559" s="365">
        <v>42</v>
      </c>
      <c r="I559" s="379"/>
      <c r="J559" s="365">
        <v>6</v>
      </c>
      <c r="K559" s="116"/>
      <c r="L559" s="116"/>
      <c r="M559" s="119">
        <v>13200</v>
      </c>
      <c r="N559" s="119">
        <v>12898</v>
      </c>
      <c r="O559" s="119">
        <v>1107</v>
      </c>
      <c r="P559" s="119" t="s">
        <v>207</v>
      </c>
      <c r="Q559" s="119">
        <v>929</v>
      </c>
      <c r="R559" s="119" t="s">
        <v>207</v>
      </c>
      <c r="S559" s="119">
        <v>1226</v>
      </c>
      <c r="T559" s="119" t="s">
        <v>207</v>
      </c>
      <c r="U559" s="119">
        <v>1609</v>
      </c>
      <c r="V559" s="119" t="s">
        <v>207</v>
      </c>
      <c r="W559" s="119">
        <v>759</v>
      </c>
      <c r="X559" s="119" t="s">
        <v>207</v>
      </c>
      <c r="Y559" s="119">
        <v>672</v>
      </c>
      <c r="Z559" s="119" t="s">
        <v>207</v>
      </c>
      <c r="AA559" s="119">
        <v>609</v>
      </c>
      <c r="AB559" s="119" t="s">
        <v>207</v>
      </c>
      <c r="AC559" s="119">
        <v>543</v>
      </c>
      <c r="AD559" s="119" t="s">
        <v>207</v>
      </c>
      <c r="AE559" s="119">
        <v>1001</v>
      </c>
      <c r="AF559" s="119" t="s">
        <v>207</v>
      </c>
      <c r="AG559" s="119">
        <v>1078</v>
      </c>
      <c r="AH559" s="119" t="s">
        <v>207</v>
      </c>
      <c r="AI559" s="119">
        <v>1356</v>
      </c>
      <c r="AJ559" s="119" t="s">
        <v>207</v>
      </c>
      <c r="AK559" s="119">
        <v>997</v>
      </c>
      <c r="AL559" s="119" t="s">
        <v>207</v>
      </c>
      <c r="AM559" s="117">
        <f t="shared" ref="AM559" si="16">SUM(O559,Q559,S559,U559,W559,Y559,AA559,AC559,AE559,AG559,AI559,AK559)</f>
        <v>11886</v>
      </c>
    </row>
    <row r="560" spans="1:39" ht="18" customHeight="1" x14ac:dyDescent="0.3">
      <c r="A560" s="432"/>
      <c r="B560" s="423"/>
      <c r="C560" s="133"/>
      <c r="D560" s="156"/>
      <c r="E560" s="31" t="s">
        <v>48</v>
      </c>
      <c r="F560" s="23" t="s">
        <v>49</v>
      </c>
      <c r="G560" s="374"/>
      <c r="H560" s="133"/>
      <c r="I560" s="156"/>
      <c r="J560" s="133"/>
      <c r="K560" s="330"/>
      <c r="L560" s="330"/>
      <c r="M560" s="24"/>
      <c r="N560" s="330"/>
      <c r="O560" s="367"/>
      <c r="P560" s="330"/>
      <c r="Q560" s="330"/>
      <c r="R560" s="330"/>
      <c r="S560" s="330"/>
      <c r="T560" s="330"/>
      <c r="U560" s="330"/>
      <c r="V560" s="330"/>
      <c r="W560" s="330"/>
      <c r="X560" s="330"/>
      <c r="Y560" s="330"/>
      <c r="Z560" s="330"/>
      <c r="AA560" s="330"/>
      <c r="AB560" s="330"/>
      <c r="AC560" s="330"/>
      <c r="AD560" s="330"/>
      <c r="AE560" s="330"/>
      <c r="AF560" s="330"/>
      <c r="AG560" s="330"/>
      <c r="AH560" s="330"/>
      <c r="AI560" s="330"/>
      <c r="AJ560" s="330"/>
      <c r="AK560" s="330"/>
      <c r="AL560" s="330"/>
      <c r="AM560" s="330"/>
    </row>
    <row r="561" spans="1:39" s="90" customFormat="1" ht="18" customHeight="1" x14ac:dyDescent="0.3">
      <c r="A561" s="114">
        <v>276</v>
      </c>
      <c r="B561" s="11" t="s">
        <v>968</v>
      </c>
      <c r="C561" s="84" t="s">
        <v>268</v>
      </c>
      <c r="D561" s="88" t="s">
        <v>958</v>
      </c>
      <c r="E561" s="31" t="s">
        <v>48</v>
      </c>
      <c r="F561" s="85" t="s">
        <v>49</v>
      </c>
      <c r="G561" s="375"/>
      <c r="H561" s="365">
        <v>55</v>
      </c>
      <c r="I561" s="379"/>
      <c r="J561" s="365">
        <v>5</v>
      </c>
      <c r="K561" s="116"/>
      <c r="L561" s="116"/>
      <c r="M561" s="119">
        <v>47873</v>
      </c>
      <c r="N561" s="119">
        <v>12859</v>
      </c>
      <c r="O561" s="119">
        <v>2155</v>
      </c>
      <c r="P561" s="119" t="s">
        <v>207</v>
      </c>
      <c r="Q561" s="119">
        <v>1799</v>
      </c>
      <c r="R561" s="119" t="s">
        <v>207</v>
      </c>
      <c r="S561" s="119">
        <v>1625</v>
      </c>
      <c r="T561" s="119" t="s">
        <v>207</v>
      </c>
      <c r="U561" s="119">
        <v>1285</v>
      </c>
      <c r="V561" s="119" t="s">
        <v>207</v>
      </c>
      <c r="W561" s="119">
        <v>865</v>
      </c>
      <c r="X561" s="119" t="s">
        <v>207</v>
      </c>
      <c r="Y561" s="119">
        <v>702</v>
      </c>
      <c r="Z561" s="119" t="s">
        <v>207</v>
      </c>
      <c r="AA561" s="119">
        <v>503</v>
      </c>
      <c r="AB561" s="119" t="s">
        <v>207</v>
      </c>
      <c r="AC561" s="119">
        <v>784</v>
      </c>
      <c r="AD561" s="119" t="s">
        <v>207</v>
      </c>
      <c r="AE561" s="119">
        <v>840</v>
      </c>
      <c r="AF561" s="119" t="s">
        <v>207</v>
      </c>
      <c r="AG561" s="119">
        <v>1047</v>
      </c>
      <c r="AH561" s="119" t="s">
        <v>207</v>
      </c>
      <c r="AI561" s="119">
        <v>1331</v>
      </c>
      <c r="AJ561" s="119" t="s">
        <v>207</v>
      </c>
      <c r="AK561" s="119">
        <v>1276</v>
      </c>
      <c r="AL561" s="119" t="s">
        <v>207</v>
      </c>
      <c r="AM561" s="117">
        <f t="shared" ref="AM561:AM621" si="17">SUM(O561,Q561,S561,U561,W561,Y561,AA561,AC561,AE561,AG561,AI561,AK561)</f>
        <v>14212</v>
      </c>
    </row>
    <row r="562" spans="1:39" s="90" customFormat="1" ht="18" customHeight="1" x14ac:dyDescent="0.3">
      <c r="A562" s="298">
        <v>277</v>
      </c>
      <c r="B562" s="11" t="s">
        <v>969</v>
      </c>
      <c r="C562" s="84" t="s">
        <v>268</v>
      </c>
      <c r="D562" s="88" t="s">
        <v>958</v>
      </c>
      <c r="E562" s="31" t="s">
        <v>144</v>
      </c>
      <c r="F562" s="85" t="s">
        <v>49</v>
      </c>
      <c r="G562" s="375"/>
      <c r="H562" s="365">
        <v>42</v>
      </c>
      <c r="I562" s="379"/>
      <c r="J562" s="365">
        <v>6</v>
      </c>
      <c r="K562" s="119"/>
      <c r="L562" s="119"/>
      <c r="M562" s="119">
        <v>7287</v>
      </c>
      <c r="N562" s="119">
        <v>6278</v>
      </c>
      <c r="O562" s="121">
        <v>913</v>
      </c>
      <c r="P562" s="119" t="s">
        <v>207</v>
      </c>
      <c r="Q562" s="119">
        <v>842</v>
      </c>
      <c r="R562" s="119" t="s">
        <v>207</v>
      </c>
      <c r="S562" s="119">
        <v>677</v>
      </c>
      <c r="T562" s="119" t="s">
        <v>207</v>
      </c>
      <c r="U562" s="119">
        <v>623</v>
      </c>
      <c r="V562" s="119" t="s">
        <v>207</v>
      </c>
      <c r="W562" s="119">
        <v>649</v>
      </c>
      <c r="X562" s="119" t="s">
        <v>207</v>
      </c>
      <c r="Y562" s="119">
        <v>412</v>
      </c>
      <c r="Z562" s="119" t="s">
        <v>207</v>
      </c>
      <c r="AA562" s="119">
        <v>314</v>
      </c>
      <c r="AB562" s="119" t="s">
        <v>207</v>
      </c>
      <c r="AC562" s="119">
        <v>375</v>
      </c>
      <c r="AD562" s="119" t="s">
        <v>207</v>
      </c>
      <c r="AE562" s="119">
        <v>469</v>
      </c>
      <c r="AF562" s="119" t="s">
        <v>207</v>
      </c>
      <c r="AG562" s="119">
        <v>612</v>
      </c>
      <c r="AH562" s="119" t="s">
        <v>207</v>
      </c>
      <c r="AI562" s="119">
        <v>858</v>
      </c>
      <c r="AJ562" s="119" t="s">
        <v>207</v>
      </c>
      <c r="AK562" s="119">
        <v>893</v>
      </c>
      <c r="AL562" s="119" t="s">
        <v>207</v>
      </c>
      <c r="AM562" s="117">
        <f t="shared" si="17"/>
        <v>7637</v>
      </c>
    </row>
    <row r="563" spans="1:39" s="90" customFormat="1" ht="18" customHeight="1" x14ac:dyDescent="0.3">
      <c r="A563" s="297">
        <v>278</v>
      </c>
      <c r="B563" s="11" t="s">
        <v>970</v>
      </c>
      <c r="C563" s="84" t="s">
        <v>268</v>
      </c>
      <c r="D563" s="88" t="s">
        <v>958</v>
      </c>
      <c r="E563" s="31" t="s">
        <v>48</v>
      </c>
      <c r="F563" s="85" t="s">
        <v>49</v>
      </c>
      <c r="G563" s="375"/>
      <c r="H563" s="365">
        <v>42</v>
      </c>
      <c r="I563" s="379"/>
      <c r="J563" s="365">
        <v>6</v>
      </c>
      <c r="K563" s="119"/>
      <c r="L563" s="119"/>
      <c r="M563" s="119">
        <v>10122</v>
      </c>
      <c r="N563" s="119">
        <v>7616</v>
      </c>
      <c r="O563" s="121">
        <v>1120</v>
      </c>
      <c r="P563" s="119" t="s">
        <v>207</v>
      </c>
      <c r="Q563" s="119">
        <v>900</v>
      </c>
      <c r="R563" s="119" t="s">
        <v>207</v>
      </c>
      <c r="S563" s="119">
        <v>843</v>
      </c>
      <c r="T563" s="119" t="s">
        <v>207</v>
      </c>
      <c r="U563" s="119">
        <v>818</v>
      </c>
      <c r="V563" s="119" t="s">
        <v>207</v>
      </c>
      <c r="W563" s="119">
        <v>670</v>
      </c>
      <c r="X563" s="119" t="s">
        <v>207</v>
      </c>
      <c r="Y563" s="119">
        <v>686</v>
      </c>
      <c r="Z563" s="119" t="s">
        <v>207</v>
      </c>
      <c r="AA563" s="119">
        <v>744</v>
      </c>
      <c r="AB563" s="119" t="s">
        <v>207</v>
      </c>
      <c r="AC563" s="119">
        <v>765</v>
      </c>
      <c r="AD563" s="119" t="s">
        <v>207</v>
      </c>
      <c r="AE563" s="119">
        <v>923</v>
      </c>
      <c r="AF563" s="119" t="s">
        <v>207</v>
      </c>
      <c r="AG563" s="119">
        <v>1100</v>
      </c>
      <c r="AH563" s="119" t="s">
        <v>207</v>
      </c>
      <c r="AI563" s="119">
        <v>1240</v>
      </c>
      <c r="AJ563" s="119" t="s">
        <v>207</v>
      </c>
      <c r="AK563" s="119">
        <v>1082</v>
      </c>
      <c r="AL563" s="119" t="s">
        <v>207</v>
      </c>
      <c r="AM563" s="117">
        <f t="shared" si="17"/>
        <v>10891</v>
      </c>
    </row>
    <row r="564" spans="1:39" s="90" customFormat="1" ht="18" customHeight="1" x14ac:dyDescent="0.3">
      <c r="A564" s="114">
        <v>279</v>
      </c>
      <c r="B564" s="11" t="s">
        <v>971</v>
      </c>
      <c r="C564" s="84" t="s">
        <v>268</v>
      </c>
      <c r="D564" s="88" t="s">
        <v>958</v>
      </c>
      <c r="E564" s="31" t="s">
        <v>144</v>
      </c>
      <c r="F564" s="85" t="s">
        <v>49</v>
      </c>
      <c r="G564" s="375"/>
      <c r="H564" s="365">
        <v>42</v>
      </c>
      <c r="I564" s="379"/>
      <c r="J564" s="365">
        <v>6</v>
      </c>
      <c r="K564" s="119"/>
      <c r="L564" s="119"/>
      <c r="M564" s="119">
        <v>4262</v>
      </c>
      <c r="N564" s="119">
        <v>5082</v>
      </c>
      <c r="O564" s="121">
        <v>631</v>
      </c>
      <c r="P564" s="119" t="s">
        <v>207</v>
      </c>
      <c r="Q564" s="119">
        <v>474</v>
      </c>
      <c r="R564" s="119" t="s">
        <v>207</v>
      </c>
      <c r="S564" s="119">
        <v>379</v>
      </c>
      <c r="T564" s="119" t="s">
        <v>207</v>
      </c>
      <c r="U564" s="119">
        <v>324</v>
      </c>
      <c r="V564" s="119" t="s">
        <v>207</v>
      </c>
      <c r="W564" s="119">
        <v>264</v>
      </c>
      <c r="X564" s="119" t="s">
        <v>207</v>
      </c>
      <c r="Y564" s="119">
        <v>184</v>
      </c>
      <c r="Z564" s="119" t="s">
        <v>207</v>
      </c>
      <c r="AA564" s="119">
        <v>171</v>
      </c>
      <c r="AB564" s="119" t="s">
        <v>207</v>
      </c>
      <c r="AC564" s="119">
        <v>423</v>
      </c>
      <c r="AD564" s="119" t="s">
        <v>207</v>
      </c>
      <c r="AE564" s="119">
        <v>461</v>
      </c>
      <c r="AF564" s="119" t="s">
        <v>207</v>
      </c>
      <c r="AG564" s="119">
        <v>473</v>
      </c>
      <c r="AH564" s="119" t="s">
        <v>207</v>
      </c>
      <c r="AI564" s="119">
        <v>529</v>
      </c>
      <c r="AJ564" s="119" t="s">
        <v>207</v>
      </c>
      <c r="AK564" s="119">
        <v>763</v>
      </c>
      <c r="AL564" s="119" t="s">
        <v>207</v>
      </c>
      <c r="AM564" s="117">
        <f t="shared" si="17"/>
        <v>5076</v>
      </c>
    </row>
    <row r="565" spans="1:39" s="90" customFormat="1" ht="18" customHeight="1" x14ac:dyDescent="0.3">
      <c r="A565" s="114">
        <v>280</v>
      </c>
      <c r="B565" s="11" t="s">
        <v>972</v>
      </c>
      <c r="C565" s="84" t="s">
        <v>268</v>
      </c>
      <c r="D565" s="88" t="s">
        <v>958</v>
      </c>
      <c r="E565" s="31" t="s">
        <v>48</v>
      </c>
      <c r="F565" s="85" t="s">
        <v>49</v>
      </c>
      <c r="G565" s="375"/>
      <c r="H565" s="365">
        <v>42</v>
      </c>
      <c r="I565" s="379"/>
      <c r="J565" s="365">
        <v>6</v>
      </c>
      <c r="K565" s="119"/>
      <c r="L565" s="119"/>
      <c r="M565" s="119">
        <v>5806</v>
      </c>
      <c r="N565" s="119">
        <v>6452</v>
      </c>
      <c r="O565" s="121">
        <v>896</v>
      </c>
      <c r="P565" s="119" t="s">
        <v>207</v>
      </c>
      <c r="Q565" s="119">
        <v>787</v>
      </c>
      <c r="R565" s="119" t="s">
        <v>207</v>
      </c>
      <c r="S565" s="119">
        <v>809</v>
      </c>
      <c r="T565" s="119" t="s">
        <v>207</v>
      </c>
      <c r="U565" s="119">
        <v>743</v>
      </c>
      <c r="V565" s="119" t="s">
        <v>207</v>
      </c>
      <c r="W565" s="119">
        <v>370</v>
      </c>
      <c r="X565" s="119" t="s">
        <v>207</v>
      </c>
      <c r="Y565" s="119">
        <v>273</v>
      </c>
      <c r="Z565" s="119" t="s">
        <v>207</v>
      </c>
      <c r="AA565" s="119">
        <v>304</v>
      </c>
      <c r="AB565" s="119" t="s">
        <v>207</v>
      </c>
      <c r="AC565" s="119">
        <v>107</v>
      </c>
      <c r="AD565" s="119" t="s">
        <v>207</v>
      </c>
      <c r="AE565" s="119">
        <v>640</v>
      </c>
      <c r="AF565" s="119" t="s">
        <v>207</v>
      </c>
      <c r="AG565" s="119">
        <v>705</v>
      </c>
      <c r="AH565" s="119" t="s">
        <v>207</v>
      </c>
      <c r="AI565" s="119">
        <v>671</v>
      </c>
      <c r="AJ565" s="119" t="s">
        <v>207</v>
      </c>
      <c r="AK565" s="119">
        <v>769</v>
      </c>
      <c r="AL565" s="119" t="s">
        <v>207</v>
      </c>
      <c r="AM565" s="117">
        <f t="shared" si="17"/>
        <v>7074</v>
      </c>
    </row>
    <row r="566" spans="1:39" s="90" customFormat="1" ht="18" customHeight="1" x14ac:dyDescent="0.3">
      <c r="A566" s="297">
        <v>281</v>
      </c>
      <c r="B566" s="11" t="s">
        <v>973</v>
      </c>
      <c r="C566" s="84" t="s">
        <v>268</v>
      </c>
      <c r="D566" s="88" t="s">
        <v>958</v>
      </c>
      <c r="E566" s="31" t="s">
        <v>144</v>
      </c>
      <c r="F566" s="85" t="s">
        <v>49</v>
      </c>
      <c r="G566" s="375"/>
      <c r="H566" s="365">
        <v>15</v>
      </c>
      <c r="I566" s="379"/>
      <c r="J566" s="365">
        <v>1</v>
      </c>
      <c r="K566" s="119"/>
      <c r="L566" s="119"/>
      <c r="M566" s="119">
        <v>11841</v>
      </c>
      <c r="N566" s="119">
        <v>6176</v>
      </c>
      <c r="O566" s="121">
        <v>941</v>
      </c>
      <c r="P566" s="119" t="s">
        <v>207</v>
      </c>
      <c r="Q566" s="119">
        <v>1010</v>
      </c>
      <c r="R566" s="119" t="s">
        <v>207</v>
      </c>
      <c r="S566" s="119">
        <v>827</v>
      </c>
      <c r="T566" s="119" t="s">
        <v>207</v>
      </c>
      <c r="U566" s="119">
        <v>712</v>
      </c>
      <c r="V566" s="119" t="s">
        <v>207</v>
      </c>
      <c r="W566" s="119">
        <v>585</v>
      </c>
      <c r="X566" s="119" t="s">
        <v>207</v>
      </c>
      <c r="Y566" s="119">
        <v>736</v>
      </c>
      <c r="Z566" s="119" t="s">
        <v>207</v>
      </c>
      <c r="AA566" s="119">
        <v>1019</v>
      </c>
      <c r="AB566" s="119" t="s">
        <v>207</v>
      </c>
      <c r="AC566" s="119">
        <v>626</v>
      </c>
      <c r="AD566" s="119" t="s">
        <v>207</v>
      </c>
      <c r="AE566" s="119">
        <v>703</v>
      </c>
      <c r="AF566" s="119" t="s">
        <v>207</v>
      </c>
      <c r="AG566" s="119">
        <v>706</v>
      </c>
      <c r="AH566" s="119" t="s">
        <v>207</v>
      </c>
      <c r="AI566" s="119">
        <v>880</v>
      </c>
      <c r="AJ566" s="119" t="s">
        <v>207</v>
      </c>
      <c r="AK566" s="119">
        <v>935</v>
      </c>
      <c r="AL566" s="119" t="s">
        <v>207</v>
      </c>
      <c r="AM566" s="117">
        <f t="shared" si="17"/>
        <v>9680</v>
      </c>
    </row>
    <row r="567" spans="1:39" s="90" customFormat="1" ht="18" customHeight="1" x14ac:dyDescent="0.3">
      <c r="A567" s="114">
        <v>282</v>
      </c>
      <c r="B567" s="11" t="s">
        <v>974</v>
      </c>
      <c r="C567" s="84" t="s">
        <v>268</v>
      </c>
      <c r="D567" s="88" t="s">
        <v>958</v>
      </c>
      <c r="E567" s="31" t="s">
        <v>48</v>
      </c>
      <c r="F567" s="85" t="s">
        <v>49</v>
      </c>
      <c r="G567" s="375"/>
      <c r="H567" s="365">
        <v>32</v>
      </c>
      <c r="I567" s="379"/>
      <c r="J567" s="365">
        <v>4</v>
      </c>
      <c r="K567" s="119"/>
      <c r="L567" s="119"/>
      <c r="M567" s="119">
        <v>6748</v>
      </c>
      <c r="N567" s="119">
        <v>6615</v>
      </c>
      <c r="O567" s="121">
        <v>878</v>
      </c>
      <c r="P567" s="119" t="s">
        <v>207</v>
      </c>
      <c r="Q567" s="119">
        <v>662</v>
      </c>
      <c r="R567" s="119" t="s">
        <v>207</v>
      </c>
      <c r="S567" s="119">
        <v>621</v>
      </c>
      <c r="T567" s="119" t="s">
        <v>207</v>
      </c>
      <c r="U567" s="119">
        <v>420</v>
      </c>
      <c r="V567" s="119" t="s">
        <v>207</v>
      </c>
      <c r="W567" s="119">
        <v>360</v>
      </c>
      <c r="X567" s="119" t="s">
        <v>207</v>
      </c>
      <c r="Y567" s="119">
        <v>304</v>
      </c>
      <c r="Z567" s="119" t="s">
        <v>207</v>
      </c>
      <c r="AA567" s="119">
        <v>337</v>
      </c>
      <c r="AB567" s="119" t="s">
        <v>207</v>
      </c>
      <c r="AC567" s="119">
        <v>347</v>
      </c>
      <c r="AD567" s="119" t="s">
        <v>207</v>
      </c>
      <c r="AE567" s="119">
        <v>992</v>
      </c>
      <c r="AF567" s="119" t="s">
        <v>207</v>
      </c>
      <c r="AG567" s="119">
        <v>466</v>
      </c>
      <c r="AH567" s="119" t="s">
        <v>207</v>
      </c>
      <c r="AI567" s="119">
        <v>486</v>
      </c>
      <c r="AJ567" s="119" t="s">
        <v>207</v>
      </c>
      <c r="AK567" s="119">
        <v>1233</v>
      </c>
      <c r="AL567" s="119" t="s">
        <v>207</v>
      </c>
      <c r="AM567" s="117">
        <f t="shared" si="17"/>
        <v>7106</v>
      </c>
    </row>
    <row r="568" spans="1:39" s="90" customFormat="1" ht="18" customHeight="1" x14ac:dyDescent="0.3">
      <c r="A568" s="114">
        <v>283</v>
      </c>
      <c r="B568" s="11" t="s">
        <v>975</v>
      </c>
      <c r="C568" s="84" t="s">
        <v>268</v>
      </c>
      <c r="D568" s="88" t="s">
        <v>958</v>
      </c>
      <c r="E568" s="31" t="s">
        <v>144</v>
      </c>
      <c r="F568" s="85" t="s">
        <v>49</v>
      </c>
      <c r="G568" s="375"/>
      <c r="H568" s="365">
        <v>10</v>
      </c>
      <c r="I568" s="379"/>
      <c r="J568" s="365">
        <v>2</v>
      </c>
      <c r="K568" s="119"/>
      <c r="L568" s="119"/>
      <c r="M568" s="119">
        <v>2114</v>
      </c>
      <c r="N568" s="119">
        <v>1954</v>
      </c>
      <c r="O568" s="121">
        <v>301</v>
      </c>
      <c r="P568" s="119" t="s">
        <v>207</v>
      </c>
      <c r="Q568" s="119">
        <v>179</v>
      </c>
      <c r="R568" s="119" t="s">
        <v>207</v>
      </c>
      <c r="S568" s="119">
        <v>135</v>
      </c>
      <c r="T568" s="119" t="s">
        <v>207</v>
      </c>
      <c r="U568" s="119">
        <v>210</v>
      </c>
      <c r="V568" s="119" t="s">
        <v>207</v>
      </c>
      <c r="W568" s="119">
        <v>359</v>
      </c>
      <c r="X568" s="119" t="s">
        <v>207</v>
      </c>
      <c r="Y568" s="119">
        <v>130</v>
      </c>
      <c r="Z568" s="119" t="s">
        <v>207</v>
      </c>
      <c r="AA568" s="119">
        <v>150</v>
      </c>
      <c r="AB568" s="119" t="s">
        <v>207</v>
      </c>
      <c r="AC568" s="119">
        <v>245</v>
      </c>
      <c r="AD568" s="119" t="s">
        <v>207</v>
      </c>
      <c r="AE568" s="119">
        <v>331</v>
      </c>
      <c r="AF568" s="119" t="s">
        <v>207</v>
      </c>
      <c r="AG568" s="119">
        <v>159</v>
      </c>
      <c r="AH568" s="119" t="s">
        <v>207</v>
      </c>
      <c r="AI568" s="119">
        <v>135</v>
      </c>
      <c r="AJ568" s="119" t="s">
        <v>207</v>
      </c>
      <c r="AK568" s="119">
        <v>214</v>
      </c>
      <c r="AL568" s="119" t="s">
        <v>207</v>
      </c>
      <c r="AM568" s="117">
        <f t="shared" si="17"/>
        <v>2548</v>
      </c>
    </row>
    <row r="569" spans="1:39" s="90" customFormat="1" ht="18" customHeight="1" x14ac:dyDescent="0.3">
      <c r="A569" s="297">
        <v>284</v>
      </c>
      <c r="B569" s="11" t="s">
        <v>976</v>
      </c>
      <c r="C569" s="84" t="s">
        <v>268</v>
      </c>
      <c r="D569" s="88" t="s">
        <v>958</v>
      </c>
      <c r="E569" s="31" t="s">
        <v>48</v>
      </c>
      <c r="F569" s="85" t="s">
        <v>49</v>
      </c>
      <c r="G569" s="375"/>
      <c r="H569" s="365">
        <v>14</v>
      </c>
      <c r="I569" s="379"/>
      <c r="J569" s="365">
        <v>2</v>
      </c>
      <c r="K569" s="119"/>
      <c r="L569" s="119"/>
      <c r="M569" s="119">
        <v>3260</v>
      </c>
      <c r="N569" s="119">
        <v>4323</v>
      </c>
      <c r="O569" s="121">
        <v>303</v>
      </c>
      <c r="P569" s="119" t="s">
        <v>207</v>
      </c>
      <c r="Q569" s="119">
        <v>294</v>
      </c>
      <c r="R569" s="119" t="s">
        <v>207</v>
      </c>
      <c r="S569" s="119">
        <v>171</v>
      </c>
      <c r="T569" s="119" t="s">
        <v>207</v>
      </c>
      <c r="U569" s="119">
        <v>261</v>
      </c>
      <c r="V569" s="119" t="s">
        <v>207</v>
      </c>
      <c r="W569" s="119">
        <v>161</v>
      </c>
      <c r="X569" s="119" t="s">
        <v>207</v>
      </c>
      <c r="Y569" s="119">
        <v>166</v>
      </c>
      <c r="Z569" s="119" t="s">
        <v>207</v>
      </c>
      <c r="AA569" s="119">
        <v>215</v>
      </c>
      <c r="AB569" s="119" t="s">
        <v>207</v>
      </c>
      <c r="AC569" s="119">
        <v>88</v>
      </c>
      <c r="AD569" s="119" t="s">
        <v>207</v>
      </c>
      <c r="AE569" s="119">
        <v>227</v>
      </c>
      <c r="AF569" s="119" t="s">
        <v>207</v>
      </c>
      <c r="AG569" s="119">
        <v>240</v>
      </c>
      <c r="AH569" s="119" t="s">
        <v>207</v>
      </c>
      <c r="AI569" s="119">
        <v>233</v>
      </c>
      <c r="AJ569" s="119" t="s">
        <v>207</v>
      </c>
      <c r="AK569" s="119">
        <v>414</v>
      </c>
      <c r="AL569" s="119" t="s">
        <v>207</v>
      </c>
      <c r="AM569" s="117">
        <f t="shared" si="17"/>
        <v>2773</v>
      </c>
    </row>
    <row r="570" spans="1:39" s="90" customFormat="1" ht="18" customHeight="1" x14ac:dyDescent="0.3">
      <c r="A570" s="114">
        <v>285</v>
      </c>
      <c r="B570" s="11" t="s">
        <v>977</v>
      </c>
      <c r="C570" s="84" t="s">
        <v>268</v>
      </c>
      <c r="D570" s="88" t="s">
        <v>958</v>
      </c>
      <c r="E570" s="31" t="s">
        <v>144</v>
      </c>
      <c r="F570" s="85" t="s">
        <v>49</v>
      </c>
      <c r="G570" s="375"/>
      <c r="H570" s="365">
        <v>10</v>
      </c>
      <c r="I570" s="379"/>
      <c r="J570" s="365">
        <v>2</v>
      </c>
      <c r="K570" s="119"/>
      <c r="L570" s="119"/>
      <c r="M570" s="119">
        <v>1729</v>
      </c>
      <c r="N570" s="119">
        <v>1867</v>
      </c>
      <c r="O570" s="121">
        <v>189</v>
      </c>
      <c r="P570" s="119" t="s">
        <v>207</v>
      </c>
      <c r="Q570" s="119">
        <v>292</v>
      </c>
      <c r="R570" s="119" t="s">
        <v>207</v>
      </c>
      <c r="S570" s="119">
        <v>217</v>
      </c>
      <c r="T570" s="119" t="s">
        <v>207</v>
      </c>
      <c r="U570" s="119">
        <v>73</v>
      </c>
      <c r="V570" s="119" t="s">
        <v>207</v>
      </c>
      <c r="W570" s="119">
        <v>103</v>
      </c>
      <c r="X570" s="119" t="s">
        <v>207</v>
      </c>
      <c r="Y570" s="119">
        <v>192</v>
      </c>
      <c r="Z570" s="119" t="s">
        <v>207</v>
      </c>
      <c r="AA570" s="119">
        <v>130</v>
      </c>
      <c r="AB570" s="119" t="s">
        <v>207</v>
      </c>
      <c r="AC570" s="119">
        <v>132</v>
      </c>
      <c r="AD570" s="119" t="s">
        <v>207</v>
      </c>
      <c r="AE570" s="119">
        <v>223</v>
      </c>
      <c r="AF570" s="119" t="s">
        <v>207</v>
      </c>
      <c r="AG570" s="119">
        <v>122</v>
      </c>
      <c r="AH570" s="119" t="s">
        <v>207</v>
      </c>
      <c r="AI570" s="119">
        <v>166</v>
      </c>
      <c r="AJ570" s="119" t="s">
        <v>207</v>
      </c>
      <c r="AK570" s="119">
        <v>285</v>
      </c>
      <c r="AL570" s="119" t="s">
        <v>207</v>
      </c>
      <c r="AM570" s="117">
        <f t="shared" si="17"/>
        <v>2124</v>
      </c>
    </row>
    <row r="571" spans="1:39" s="90" customFormat="1" ht="18" customHeight="1" x14ac:dyDescent="0.3">
      <c r="A571" s="114">
        <v>286</v>
      </c>
      <c r="B571" s="11" t="s">
        <v>978</v>
      </c>
      <c r="C571" s="84" t="s">
        <v>268</v>
      </c>
      <c r="D571" s="88" t="s">
        <v>958</v>
      </c>
      <c r="E571" s="31" t="s">
        <v>48</v>
      </c>
      <c r="F571" s="85" t="s">
        <v>49</v>
      </c>
      <c r="G571" s="375"/>
      <c r="H571" s="365">
        <v>70</v>
      </c>
      <c r="I571" s="379"/>
      <c r="J571" s="365">
        <v>9</v>
      </c>
      <c r="K571" s="119"/>
      <c r="L571" s="119"/>
      <c r="M571" s="119"/>
      <c r="N571" s="119">
        <v>27141</v>
      </c>
      <c r="O571" s="121"/>
      <c r="P571" s="119" t="s">
        <v>207</v>
      </c>
      <c r="Q571" s="119"/>
      <c r="R571" s="119" t="s">
        <v>207</v>
      </c>
      <c r="S571" s="119"/>
      <c r="T571" s="119" t="s">
        <v>207</v>
      </c>
      <c r="U571" s="119"/>
      <c r="V571" s="119" t="s">
        <v>207</v>
      </c>
      <c r="W571" s="119"/>
      <c r="X571" s="119" t="s">
        <v>207</v>
      </c>
      <c r="Y571" s="119"/>
      <c r="Z571" s="119" t="s">
        <v>207</v>
      </c>
      <c r="AA571" s="119"/>
      <c r="AB571" s="119" t="s">
        <v>207</v>
      </c>
      <c r="AC571" s="119"/>
      <c r="AD571" s="119" t="s">
        <v>207</v>
      </c>
      <c r="AE571" s="119"/>
      <c r="AF571" s="119" t="s">
        <v>207</v>
      </c>
      <c r="AG571" s="119"/>
      <c r="AH571" s="119" t="s">
        <v>207</v>
      </c>
      <c r="AI571" s="119"/>
      <c r="AJ571" s="119" t="s">
        <v>207</v>
      </c>
      <c r="AK571" s="119"/>
      <c r="AL571" s="119" t="s">
        <v>207</v>
      </c>
      <c r="AM571" s="117">
        <f t="shared" si="17"/>
        <v>0</v>
      </c>
    </row>
    <row r="572" spans="1:39" s="90" customFormat="1" ht="18" customHeight="1" x14ac:dyDescent="0.3">
      <c r="A572" s="297">
        <v>287</v>
      </c>
      <c r="B572" s="11" t="s">
        <v>979</v>
      </c>
      <c r="C572" s="84" t="s">
        <v>268</v>
      </c>
      <c r="D572" s="88" t="s">
        <v>958</v>
      </c>
      <c r="E572" s="31" t="s">
        <v>144</v>
      </c>
      <c r="F572" s="85" t="s">
        <v>49</v>
      </c>
      <c r="G572" s="375"/>
      <c r="H572" s="365">
        <v>10</v>
      </c>
      <c r="I572" s="379"/>
      <c r="J572" s="365">
        <v>2</v>
      </c>
      <c r="K572" s="119"/>
      <c r="L572" s="119"/>
      <c r="M572" s="119">
        <v>34273</v>
      </c>
      <c r="N572" s="119">
        <v>19602</v>
      </c>
      <c r="O572" s="121">
        <v>4135</v>
      </c>
      <c r="P572" s="119" t="s">
        <v>207</v>
      </c>
      <c r="Q572" s="119">
        <v>2334</v>
      </c>
      <c r="R572" s="119" t="s">
        <v>207</v>
      </c>
      <c r="S572" s="119">
        <v>2806</v>
      </c>
      <c r="T572" s="119" t="s">
        <v>207</v>
      </c>
      <c r="U572" s="119">
        <v>1251</v>
      </c>
      <c r="V572" s="119" t="s">
        <v>207</v>
      </c>
      <c r="W572" s="119">
        <v>1522</v>
      </c>
      <c r="X572" s="119" t="s">
        <v>207</v>
      </c>
      <c r="Y572" s="119">
        <v>997</v>
      </c>
      <c r="Z572" s="119" t="s">
        <v>207</v>
      </c>
      <c r="AA572" s="119">
        <v>992</v>
      </c>
      <c r="AB572" s="119" t="s">
        <v>207</v>
      </c>
      <c r="AC572" s="119">
        <v>698</v>
      </c>
      <c r="AD572" s="119" t="s">
        <v>207</v>
      </c>
      <c r="AE572" s="119">
        <v>1060</v>
      </c>
      <c r="AF572" s="119" t="s">
        <v>207</v>
      </c>
      <c r="AG572" s="119">
        <v>1607</v>
      </c>
      <c r="AH572" s="119" t="s">
        <v>207</v>
      </c>
      <c r="AI572" s="119">
        <v>2310</v>
      </c>
      <c r="AJ572" s="119" t="s">
        <v>207</v>
      </c>
      <c r="AK572" s="119">
        <v>2611</v>
      </c>
      <c r="AL572" s="119" t="s">
        <v>207</v>
      </c>
      <c r="AM572" s="117">
        <f t="shared" si="17"/>
        <v>22323</v>
      </c>
    </row>
    <row r="573" spans="1:39" s="90" customFormat="1" ht="18" customHeight="1" x14ac:dyDescent="0.3">
      <c r="A573" s="114">
        <v>288</v>
      </c>
      <c r="B573" s="11" t="s">
        <v>980</v>
      </c>
      <c r="C573" s="84" t="s">
        <v>268</v>
      </c>
      <c r="D573" s="88" t="s">
        <v>958</v>
      </c>
      <c r="E573" s="31" t="s">
        <v>48</v>
      </c>
      <c r="F573" s="85" t="s">
        <v>49</v>
      </c>
      <c r="G573" s="375"/>
      <c r="H573" s="365">
        <v>26</v>
      </c>
      <c r="I573" s="379"/>
      <c r="J573" s="365">
        <v>2</v>
      </c>
      <c r="K573" s="119"/>
      <c r="L573" s="119"/>
      <c r="M573" s="119"/>
      <c r="N573" s="119">
        <v>13673</v>
      </c>
      <c r="O573" s="121"/>
      <c r="P573" s="119" t="s">
        <v>207</v>
      </c>
      <c r="Q573" s="119"/>
      <c r="R573" s="119" t="s">
        <v>207</v>
      </c>
      <c r="S573" s="119"/>
      <c r="T573" s="119" t="s">
        <v>207</v>
      </c>
      <c r="U573" s="119"/>
      <c r="V573" s="119" t="s">
        <v>207</v>
      </c>
      <c r="W573" s="119"/>
      <c r="X573" s="119" t="s">
        <v>207</v>
      </c>
      <c r="Y573" s="119"/>
      <c r="Z573" s="119" t="s">
        <v>207</v>
      </c>
      <c r="AA573" s="119"/>
      <c r="AB573" s="119" t="s">
        <v>207</v>
      </c>
      <c r="AC573" s="119"/>
      <c r="AD573" s="119" t="s">
        <v>207</v>
      </c>
      <c r="AE573" s="119"/>
      <c r="AF573" s="119" t="s">
        <v>207</v>
      </c>
      <c r="AG573" s="119"/>
      <c r="AH573" s="119" t="s">
        <v>207</v>
      </c>
      <c r="AI573" s="119"/>
      <c r="AJ573" s="119" t="s">
        <v>207</v>
      </c>
      <c r="AK573" s="119"/>
      <c r="AL573" s="119" t="s">
        <v>207</v>
      </c>
      <c r="AM573" s="117">
        <f t="shared" si="17"/>
        <v>0</v>
      </c>
    </row>
    <row r="574" spans="1:39" s="90" customFormat="1" ht="18" customHeight="1" x14ac:dyDescent="0.3">
      <c r="A574" s="114">
        <v>289</v>
      </c>
      <c r="B574" s="11" t="s">
        <v>981</v>
      </c>
      <c r="C574" s="84" t="s">
        <v>268</v>
      </c>
      <c r="D574" s="88" t="s">
        <v>958</v>
      </c>
      <c r="E574" s="31" t="s">
        <v>144</v>
      </c>
      <c r="F574" s="85" t="s">
        <v>49</v>
      </c>
      <c r="G574" s="375"/>
      <c r="H574" s="365">
        <v>42</v>
      </c>
      <c r="I574" s="379"/>
      <c r="J574" s="365">
        <v>2</v>
      </c>
      <c r="K574" s="119"/>
      <c r="L574" s="119"/>
      <c r="M574" s="119">
        <v>94880</v>
      </c>
      <c r="N574" s="119">
        <v>43374</v>
      </c>
      <c r="O574" s="121">
        <v>5012</v>
      </c>
      <c r="P574" s="119" t="s">
        <v>207</v>
      </c>
      <c r="Q574" s="119">
        <v>3768</v>
      </c>
      <c r="R574" s="119" t="s">
        <v>207</v>
      </c>
      <c r="S574" s="119">
        <v>5960</v>
      </c>
      <c r="T574" s="119" t="s">
        <v>207</v>
      </c>
      <c r="U574" s="119">
        <v>3317</v>
      </c>
      <c r="V574" s="119" t="s">
        <v>207</v>
      </c>
      <c r="W574" s="119">
        <v>3889</v>
      </c>
      <c r="X574" s="119" t="s">
        <v>207</v>
      </c>
      <c r="Y574" s="119">
        <v>3801</v>
      </c>
      <c r="Z574" s="119" t="s">
        <v>207</v>
      </c>
      <c r="AA574" s="119">
        <v>3738</v>
      </c>
      <c r="AB574" s="119" t="s">
        <v>207</v>
      </c>
      <c r="AC574" s="119">
        <v>2468</v>
      </c>
      <c r="AD574" s="119" t="s">
        <v>207</v>
      </c>
      <c r="AE574" s="119">
        <v>4159</v>
      </c>
      <c r="AF574" s="119" t="s">
        <v>207</v>
      </c>
      <c r="AG574" s="119">
        <v>5225</v>
      </c>
      <c r="AH574" s="119" t="s">
        <v>207</v>
      </c>
      <c r="AI574" s="119">
        <v>4583</v>
      </c>
      <c r="AJ574" s="119" t="s">
        <v>207</v>
      </c>
      <c r="AK574" s="119">
        <v>4249</v>
      </c>
      <c r="AL574" s="119" t="s">
        <v>207</v>
      </c>
      <c r="AM574" s="117">
        <f t="shared" si="17"/>
        <v>50169</v>
      </c>
    </row>
    <row r="575" spans="1:39" s="90" customFormat="1" ht="18" customHeight="1" x14ac:dyDescent="0.3">
      <c r="A575" s="297">
        <v>290</v>
      </c>
      <c r="B575" s="11" t="s">
        <v>982</v>
      </c>
      <c r="C575" s="84" t="s">
        <v>268</v>
      </c>
      <c r="D575" s="88" t="s">
        <v>958</v>
      </c>
      <c r="E575" s="31" t="s">
        <v>48</v>
      </c>
      <c r="F575" s="85" t="s">
        <v>49</v>
      </c>
      <c r="G575" s="375"/>
      <c r="H575" s="365">
        <v>108</v>
      </c>
      <c r="I575" s="379"/>
      <c r="J575" s="365">
        <v>9</v>
      </c>
      <c r="K575" s="119"/>
      <c r="L575" s="119"/>
      <c r="M575" s="119">
        <v>28649</v>
      </c>
      <c r="N575" s="119">
        <v>16810</v>
      </c>
      <c r="O575" s="121">
        <v>0</v>
      </c>
      <c r="P575" s="119" t="s">
        <v>207</v>
      </c>
      <c r="Q575" s="119">
        <v>564</v>
      </c>
      <c r="R575" s="119" t="s">
        <v>207</v>
      </c>
      <c r="S575" s="119">
        <v>611</v>
      </c>
      <c r="T575" s="119" t="s">
        <v>207</v>
      </c>
      <c r="U575" s="119">
        <v>691</v>
      </c>
      <c r="V575" s="119" t="s">
        <v>207</v>
      </c>
      <c r="W575" s="119">
        <v>566</v>
      </c>
      <c r="X575" s="119" t="s">
        <v>207</v>
      </c>
      <c r="Y575" s="119">
        <v>622</v>
      </c>
      <c r="Z575" s="119" t="s">
        <v>207</v>
      </c>
      <c r="AA575" s="119">
        <v>381</v>
      </c>
      <c r="AB575" s="119" t="s">
        <v>207</v>
      </c>
      <c r="AC575" s="119">
        <v>677</v>
      </c>
      <c r="AD575" s="119" t="s">
        <v>207</v>
      </c>
      <c r="AE575" s="119">
        <v>556</v>
      </c>
      <c r="AF575" s="119" t="s">
        <v>207</v>
      </c>
      <c r="AG575" s="119">
        <v>536</v>
      </c>
      <c r="AH575" s="119" t="s">
        <v>207</v>
      </c>
      <c r="AI575" s="119">
        <v>721</v>
      </c>
      <c r="AJ575" s="119" t="s">
        <v>207</v>
      </c>
      <c r="AK575" s="119">
        <v>1180</v>
      </c>
      <c r="AL575" s="119" t="s">
        <v>207</v>
      </c>
      <c r="AM575" s="117">
        <f t="shared" si="17"/>
        <v>7105</v>
      </c>
    </row>
    <row r="576" spans="1:39" s="90" customFormat="1" ht="18" customHeight="1" x14ac:dyDescent="0.3">
      <c r="A576" s="114">
        <v>291</v>
      </c>
      <c r="B576" s="11" t="s">
        <v>983</v>
      </c>
      <c r="C576" s="84" t="s">
        <v>268</v>
      </c>
      <c r="D576" s="88" t="s">
        <v>958</v>
      </c>
      <c r="E576" s="31" t="s">
        <v>144</v>
      </c>
      <c r="F576" s="85" t="s">
        <v>49</v>
      </c>
      <c r="G576" s="375"/>
      <c r="H576" s="365">
        <v>48</v>
      </c>
      <c r="I576" s="379"/>
      <c r="J576" s="365">
        <v>4</v>
      </c>
      <c r="K576" s="119"/>
      <c r="L576" s="119"/>
      <c r="M576" s="119">
        <v>65640</v>
      </c>
      <c r="N576" s="119">
        <v>40936</v>
      </c>
      <c r="O576" s="121">
        <v>4961</v>
      </c>
      <c r="P576" s="119" t="s">
        <v>207</v>
      </c>
      <c r="Q576" s="119">
        <v>4306</v>
      </c>
      <c r="R576" s="119" t="s">
        <v>207</v>
      </c>
      <c r="S576" s="119">
        <v>3917</v>
      </c>
      <c r="T576" s="119" t="s">
        <v>207</v>
      </c>
      <c r="U576" s="119">
        <v>4982</v>
      </c>
      <c r="V576" s="119" t="s">
        <v>207</v>
      </c>
      <c r="W576" s="119">
        <v>4332</v>
      </c>
      <c r="X576" s="119" t="s">
        <v>207</v>
      </c>
      <c r="Y576" s="119">
        <v>3634</v>
      </c>
      <c r="Z576" s="119" t="s">
        <v>207</v>
      </c>
      <c r="AA576" s="119">
        <v>4634</v>
      </c>
      <c r="AB576" s="119" t="s">
        <v>207</v>
      </c>
      <c r="AC576" s="119">
        <v>5272</v>
      </c>
      <c r="AD576" s="119" t="s">
        <v>207</v>
      </c>
      <c r="AE576" s="119">
        <v>4664</v>
      </c>
      <c r="AF576" s="119" t="s">
        <v>207</v>
      </c>
      <c r="AG576" s="119">
        <v>4300</v>
      </c>
      <c r="AH576" s="119" t="s">
        <v>207</v>
      </c>
      <c r="AI576" s="119">
        <v>3835</v>
      </c>
      <c r="AJ576" s="119" t="s">
        <v>207</v>
      </c>
      <c r="AK576" s="119">
        <v>4189</v>
      </c>
      <c r="AL576" s="119" t="s">
        <v>207</v>
      </c>
      <c r="AM576" s="117">
        <f t="shared" si="17"/>
        <v>53026</v>
      </c>
    </row>
    <row r="577" spans="1:39" s="90" customFormat="1" ht="18" customHeight="1" x14ac:dyDescent="0.3">
      <c r="A577" s="114">
        <v>292</v>
      </c>
      <c r="B577" s="11" t="s">
        <v>984</v>
      </c>
      <c r="C577" s="84" t="s">
        <v>268</v>
      </c>
      <c r="D577" s="88" t="s">
        <v>958</v>
      </c>
      <c r="E577" s="31" t="s">
        <v>48</v>
      </c>
      <c r="F577" s="85" t="s">
        <v>49</v>
      </c>
      <c r="G577" s="375"/>
      <c r="H577" s="365">
        <v>84</v>
      </c>
      <c r="I577" s="379"/>
      <c r="J577" s="365">
        <v>7</v>
      </c>
      <c r="K577" s="119"/>
      <c r="L577" s="119"/>
      <c r="M577" s="119">
        <v>94656</v>
      </c>
      <c r="N577" s="119">
        <v>73329</v>
      </c>
      <c r="O577" s="121">
        <v>6832</v>
      </c>
      <c r="P577" s="119" t="s">
        <v>207</v>
      </c>
      <c r="Q577" s="119">
        <v>6678</v>
      </c>
      <c r="R577" s="119" t="s">
        <v>207</v>
      </c>
      <c r="S577" s="119">
        <v>5843</v>
      </c>
      <c r="T577" s="119" t="s">
        <v>207</v>
      </c>
      <c r="U577" s="119">
        <v>6383</v>
      </c>
      <c r="V577" s="119" t="s">
        <v>207</v>
      </c>
      <c r="W577" s="119">
        <v>5609</v>
      </c>
      <c r="X577" s="119" t="s">
        <v>207</v>
      </c>
      <c r="Y577" s="119">
        <v>5122</v>
      </c>
      <c r="Z577" s="119" t="s">
        <v>207</v>
      </c>
      <c r="AA577" s="119">
        <v>6814</v>
      </c>
      <c r="AB577" s="119" t="s">
        <v>207</v>
      </c>
      <c r="AC577" s="119">
        <v>5784</v>
      </c>
      <c r="AD577" s="119" t="s">
        <v>207</v>
      </c>
      <c r="AE577" s="119">
        <v>5909</v>
      </c>
      <c r="AF577" s="119" t="s">
        <v>207</v>
      </c>
      <c r="AG577" s="119">
        <v>6478</v>
      </c>
      <c r="AH577" s="119" t="s">
        <v>207</v>
      </c>
      <c r="AI577" s="119">
        <v>5303</v>
      </c>
      <c r="AJ577" s="119" t="s">
        <v>207</v>
      </c>
      <c r="AK577" s="119">
        <v>6171</v>
      </c>
      <c r="AL577" s="119" t="s">
        <v>207</v>
      </c>
      <c r="AM577" s="117">
        <f t="shared" si="17"/>
        <v>72926</v>
      </c>
    </row>
    <row r="578" spans="1:39" s="90" customFormat="1" ht="18" customHeight="1" x14ac:dyDescent="0.3">
      <c r="A578" s="297">
        <v>293</v>
      </c>
      <c r="B578" s="11" t="s">
        <v>985</v>
      </c>
      <c r="C578" s="84" t="s">
        <v>268</v>
      </c>
      <c r="D578" s="88" t="s">
        <v>958</v>
      </c>
      <c r="E578" s="31" t="s">
        <v>48</v>
      </c>
      <c r="F578" s="85" t="s">
        <v>49</v>
      </c>
      <c r="G578" s="375"/>
      <c r="H578" s="365">
        <v>84</v>
      </c>
      <c r="I578" s="379"/>
      <c r="J578" s="365">
        <v>7</v>
      </c>
      <c r="K578" s="119"/>
      <c r="L578" s="119"/>
      <c r="M578" s="119"/>
      <c r="N578" s="119">
        <v>8606</v>
      </c>
      <c r="O578" s="121"/>
      <c r="P578" s="119" t="s">
        <v>207</v>
      </c>
      <c r="Q578" s="119"/>
      <c r="R578" s="119" t="s">
        <v>207</v>
      </c>
      <c r="S578" s="119"/>
      <c r="T578" s="119" t="s">
        <v>207</v>
      </c>
      <c r="U578" s="119"/>
      <c r="V578" s="119" t="s">
        <v>207</v>
      </c>
      <c r="W578" s="119"/>
      <c r="X578" s="119" t="s">
        <v>207</v>
      </c>
      <c r="Y578" s="119"/>
      <c r="Z578" s="119" t="s">
        <v>207</v>
      </c>
      <c r="AA578" s="119"/>
      <c r="AB578" s="119" t="s">
        <v>207</v>
      </c>
      <c r="AC578" s="119"/>
      <c r="AD578" s="119" t="s">
        <v>207</v>
      </c>
      <c r="AE578" s="119"/>
      <c r="AF578" s="119" t="s">
        <v>207</v>
      </c>
      <c r="AG578" s="119"/>
      <c r="AH578" s="119" t="s">
        <v>207</v>
      </c>
      <c r="AI578" s="119"/>
      <c r="AJ578" s="119" t="s">
        <v>207</v>
      </c>
      <c r="AK578" s="119"/>
      <c r="AL578" s="119" t="s">
        <v>207</v>
      </c>
      <c r="AM578" s="117">
        <f t="shared" si="17"/>
        <v>0</v>
      </c>
    </row>
    <row r="579" spans="1:39" s="90" customFormat="1" ht="18" customHeight="1" x14ac:dyDescent="0.3">
      <c r="A579" s="114">
        <v>294</v>
      </c>
      <c r="B579" s="11" t="s">
        <v>986</v>
      </c>
      <c r="C579" s="84" t="s">
        <v>268</v>
      </c>
      <c r="D579" s="88" t="s">
        <v>958</v>
      </c>
      <c r="E579" s="31" t="s">
        <v>48</v>
      </c>
      <c r="F579" s="85" t="s">
        <v>49</v>
      </c>
      <c r="G579" s="375"/>
      <c r="H579" s="365">
        <v>84</v>
      </c>
      <c r="I579" s="379"/>
      <c r="J579" s="365">
        <v>7</v>
      </c>
      <c r="K579" s="120"/>
      <c r="L579" s="120"/>
      <c r="M579" s="120"/>
      <c r="N579" s="120">
        <v>9132</v>
      </c>
      <c r="O579" s="120"/>
      <c r="P579" s="120" t="s">
        <v>207</v>
      </c>
      <c r="Q579" s="120"/>
      <c r="R579" s="120" t="s">
        <v>207</v>
      </c>
      <c r="S579" s="120"/>
      <c r="T579" s="120" t="s">
        <v>207</v>
      </c>
      <c r="U579" s="120"/>
      <c r="V579" s="120" t="s">
        <v>207</v>
      </c>
      <c r="W579" s="120"/>
      <c r="X579" s="120" t="s">
        <v>207</v>
      </c>
      <c r="Y579" s="120"/>
      <c r="Z579" s="120" t="s">
        <v>207</v>
      </c>
      <c r="AA579" s="120"/>
      <c r="AB579" s="120" t="s">
        <v>207</v>
      </c>
      <c r="AC579" s="120"/>
      <c r="AD579" s="120" t="s">
        <v>207</v>
      </c>
      <c r="AE579" s="120"/>
      <c r="AF579" s="120" t="s">
        <v>207</v>
      </c>
      <c r="AG579" s="120"/>
      <c r="AH579" s="120" t="s">
        <v>207</v>
      </c>
      <c r="AI579" s="120"/>
      <c r="AJ579" s="120" t="s">
        <v>207</v>
      </c>
      <c r="AK579" s="120"/>
      <c r="AL579" s="120" t="s">
        <v>207</v>
      </c>
      <c r="AM579" s="117">
        <f t="shared" si="17"/>
        <v>0</v>
      </c>
    </row>
    <row r="580" spans="1:39" s="90" customFormat="1" ht="18" customHeight="1" x14ac:dyDescent="0.3">
      <c r="A580" s="114">
        <v>295</v>
      </c>
      <c r="B580" s="11" t="s">
        <v>987</v>
      </c>
      <c r="C580" s="84" t="s">
        <v>268</v>
      </c>
      <c r="D580" s="88" t="s">
        <v>958</v>
      </c>
      <c r="E580" s="288"/>
      <c r="F580" s="289"/>
      <c r="G580" s="375"/>
      <c r="H580" s="365">
        <v>56</v>
      </c>
      <c r="I580" s="379"/>
      <c r="J580" s="365">
        <v>4</v>
      </c>
      <c r="K580" s="120"/>
      <c r="L580" s="120"/>
      <c r="M580" s="120">
        <v>47992</v>
      </c>
      <c r="N580" s="120">
        <v>40779</v>
      </c>
      <c r="O580" s="120">
        <v>2891</v>
      </c>
      <c r="P580" s="120" t="s">
        <v>207</v>
      </c>
      <c r="Q580" s="120">
        <v>2635</v>
      </c>
      <c r="R580" s="120" t="s">
        <v>207</v>
      </c>
      <c r="S580" s="120">
        <v>2217</v>
      </c>
      <c r="T580" s="120" t="s">
        <v>207</v>
      </c>
      <c r="U580" s="120">
        <v>2613</v>
      </c>
      <c r="V580" s="120" t="s">
        <v>207</v>
      </c>
      <c r="W580" s="120">
        <v>2617</v>
      </c>
      <c r="X580" s="120" t="s">
        <v>207</v>
      </c>
      <c r="Y580" s="120">
        <v>2555</v>
      </c>
      <c r="Z580" s="120" t="s">
        <v>207</v>
      </c>
      <c r="AA580" s="120">
        <v>2887</v>
      </c>
      <c r="AB580" s="120" t="s">
        <v>207</v>
      </c>
      <c r="AC580" s="120">
        <v>2754</v>
      </c>
      <c r="AD580" s="120" t="s">
        <v>207</v>
      </c>
      <c r="AE580" s="120">
        <v>2713</v>
      </c>
      <c r="AF580" s="120" t="s">
        <v>207</v>
      </c>
      <c r="AG580" s="120">
        <v>2704</v>
      </c>
      <c r="AH580" s="120" t="s">
        <v>207</v>
      </c>
      <c r="AI580" s="120">
        <v>2516</v>
      </c>
      <c r="AJ580" s="120" t="s">
        <v>207</v>
      </c>
      <c r="AK580" s="120">
        <v>2943</v>
      </c>
      <c r="AL580" s="120" t="s">
        <v>207</v>
      </c>
      <c r="AM580" s="117">
        <f t="shared" si="17"/>
        <v>32045</v>
      </c>
    </row>
    <row r="581" spans="1:39" s="90" customFormat="1" ht="18" customHeight="1" x14ac:dyDescent="0.3">
      <c r="A581" s="297">
        <v>296</v>
      </c>
      <c r="B581" s="11" t="s">
        <v>988</v>
      </c>
      <c r="C581" s="84" t="s">
        <v>268</v>
      </c>
      <c r="D581" s="88" t="s">
        <v>958</v>
      </c>
      <c r="E581" s="31" t="s">
        <v>48</v>
      </c>
      <c r="F581" s="85" t="s">
        <v>49</v>
      </c>
      <c r="G581" s="375"/>
      <c r="H581" s="365">
        <v>126</v>
      </c>
      <c r="I581" s="379"/>
      <c r="J581" s="365">
        <v>7</v>
      </c>
      <c r="K581" s="120"/>
      <c r="L581" s="120"/>
      <c r="M581" s="120"/>
      <c r="N581" s="120">
        <v>65739</v>
      </c>
      <c r="O581" s="120"/>
      <c r="P581" s="120" t="s">
        <v>207</v>
      </c>
      <c r="Q581" s="120"/>
      <c r="R581" s="120" t="s">
        <v>207</v>
      </c>
      <c r="S581" s="120"/>
      <c r="T581" s="120" t="s">
        <v>207</v>
      </c>
      <c r="U581" s="120"/>
      <c r="V581" s="120" t="s">
        <v>207</v>
      </c>
      <c r="W581" s="120"/>
      <c r="X581" s="120" t="s">
        <v>207</v>
      </c>
      <c r="Y581" s="120"/>
      <c r="Z581" s="120" t="s">
        <v>207</v>
      </c>
      <c r="AA581" s="120"/>
      <c r="AB581" s="120" t="s">
        <v>207</v>
      </c>
      <c r="AC581" s="120"/>
      <c r="AD581" s="120" t="s">
        <v>207</v>
      </c>
      <c r="AE581" s="120"/>
      <c r="AF581" s="120" t="s">
        <v>207</v>
      </c>
      <c r="AG581" s="120"/>
      <c r="AH581" s="120" t="s">
        <v>207</v>
      </c>
      <c r="AI581" s="120"/>
      <c r="AJ581" s="120" t="s">
        <v>207</v>
      </c>
      <c r="AK581" s="120"/>
      <c r="AL581" s="120" t="s">
        <v>207</v>
      </c>
      <c r="AM581" s="117">
        <f t="shared" si="17"/>
        <v>0</v>
      </c>
    </row>
    <row r="582" spans="1:39" s="90" customFormat="1" ht="18" customHeight="1" x14ac:dyDescent="0.3">
      <c r="A582" s="114">
        <v>297</v>
      </c>
      <c r="B582" s="11" t="s">
        <v>989</v>
      </c>
      <c r="C582" s="84" t="s">
        <v>268</v>
      </c>
      <c r="D582" s="88" t="s">
        <v>958</v>
      </c>
      <c r="E582" s="31" t="s">
        <v>48</v>
      </c>
      <c r="F582" s="85" t="s">
        <v>49</v>
      </c>
      <c r="G582" s="375"/>
      <c r="H582" s="365">
        <v>48</v>
      </c>
      <c r="I582" s="379"/>
      <c r="J582" s="365">
        <v>6</v>
      </c>
      <c r="K582" s="120"/>
      <c r="L582" s="120"/>
      <c r="M582" s="120"/>
      <c r="N582" s="120">
        <v>7318</v>
      </c>
      <c r="O582" s="120"/>
      <c r="P582" s="120" t="s">
        <v>207</v>
      </c>
      <c r="Q582" s="120"/>
      <c r="R582" s="120" t="s">
        <v>207</v>
      </c>
      <c r="S582" s="120"/>
      <c r="T582" s="120" t="s">
        <v>207</v>
      </c>
      <c r="U582" s="120"/>
      <c r="V582" s="120" t="s">
        <v>207</v>
      </c>
      <c r="W582" s="120"/>
      <c r="X582" s="120" t="s">
        <v>207</v>
      </c>
      <c r="Y582" s="120"/>
      <c r="Z582" s="120" t="s">
        <v>207</v>
      </c>
      <c r="AA582" s="120"/>
      <c r="AB582" s="120" t="s">
        <v>207</v>
      </c>
      <c r="AC582" s="120"/>
      <c r="AD582" s="120" t="s">
        <v>207</v>
      </c>
      <c r="AE582" s="120"/>
      <c r="AF582" s="120" t="s">
        <v>207</v>
      </c>
      <c r="AG582" s="120"/>
      <c r="AH582" s="120" t="s">
        <v>207</v>
      </c>
      <c r="AI582" s="120"/>
      <c r="AJ582" s="120" t="s">
        <v>207</v>
      </c>
      <c r="AK582" s="120"/>
      <c r="AL582" s="120" t="s">
        <v>207</v>
      </c>
      <c r="AM582" s="117">
        <f t="shared" si="17"/>
        <v>0</v>
      </c>
    </row>
    <row r="583" spans="1:39" s="90" customFormat="1" ht="18" customHeight="1" x14ac:dyDescent="0.3">
      <c r="A583" s="114">
        <v>298</v>
      </c>
      <c r="B583" s="11" t="s">
        <v>990</v>
      </c>
      <c r="C583" s="84" t="s">
        <v>268</v>
      </c>
      <c r="D583" s="88" t="s">
        <v>958</v>
      </c>
      <c r="E583" s="31" t="s">
        <v>48</v>
      </c>
      <c r="F583" s="85" t="s">
        <v>49</v>
      </c>
      <c r="G583" s="375"/>
      <c r="H583" s="365">
        <v>48</v>
      </c>
      <c r="I583" s="379"/>
      <c r="J583" s="365">
        <v>6</v>
      </c>
      <c r="K583" s="120"/>
      <c r="L583" s="120"/>
      <c r="M583" s="120">
        <v>12806</v>
      </c>
      <c r="N583" s="120">
        <v>12980</v>
      </c>
      <c r="O583" s="120">
        <v>1474</v>
      </c>
      <c r="P583" s="120" t="s">
        <v>207</v>
      </c>
      <c r="Q583" s="120">
        <v>1104</v>
      </c>
      <c r="R583" s="120" t="s">
        <v>207</v>
      </c>
      <c r="S583" s="120">
        <v>1094</v>
      </c>
      <c r="T583" s="120" t="s">
        <v>207</v>
      </c>
      <c r="U583" s="120">
        <v>805</v>
      </c>
      <c r="V583" s="120" t="s">
        <v>207</v>
      </c>
      <c r="W583" s="120">
        <v>759</v>
      </c>
      <c r="X583" s="120" t="s">
        <v>207</v>
      </c>
      <c r="Y583" s="120">
        <v>721</v>
      </c>
      <c r="Z583" s="120" t="s">
        <v>207</v>
      </c>
      <c r="AA583" s="120">
        <v>1311</v>
      </c>
      <c r="AB583" s="120" t="s">
        <v>207</v>
      </c>
      <c r="AC583" s="120">
        <v>1291</v>
      </c>
      <c r="AD583" s="120" t="s">
        <v>207</v>
      </c>
      <c r="AE583" s="120">
        <v>1447</v>
      </c>
      <c r="AF583" s="120" t="s">
        <v>207</v>
      </c>
      <c r="AG583" s="120">
        <v>1438</v>
      </c>
      <c r="AH583" s="120" t="s">
        <v>207</v>
      </c>
      <c r="AI583" s="120">
        <v>1235</v>
      </c>
      <c r="AJ583" s="120" t="s">
        <v>207</v>
      </c>
      <c r="AK583" s="120">
        <v>1419</v>
      </c>
      <c r="AL583" s="120" t="s">
        <v>207</v>
      </c>
      <c r="AM583" s="117">
        <f t="shared" si="17"/>
        <v>14098</v>
      </c>
    </row>
    <row r="584" spans="1:39" s="90" customFormat="1" ht="18" customHeight="1" x14ac:dyDescent="0.3">
      <c r="A584" s="297">
        <v>299</v>
      </c>
      <c r="B584" s="11" t="s">
        <v>991</v>
      </c>
      <c r="C584" s="84" t="s">
        <v>268</v>
      </c>
      <c r="D584" s="88" t="s">
        <v>958</v>
      </c>
      <c r="E584" s="31" t="s">
        <v>48</v>
      </c>
      <c r="F584" s="85" t="s">
        <v>49</v>
      </c>
      <c r="G584" s="375"/>
      <c r="H584" s="365">
        <v>48</v>
      </c>
      <c r="I584" s="379"/>
      <c r="J584" s="365">
        <v>4</v>
      </c>
      <c r="K584" s="120"/>
      <c r="L584" s="120"/>
      <c r="M584" s="120">
        <v>47929</v>
      </c>
      <c r="N584" s="120">
        <v>30426</v>
      </c>
      <c r="O584" s="120">
        <v>2729</v>
      </c>
      <c r="P584" s="120" t="s">
        <v>207</v>
      </c>
      <c r="Q584" s="120">
        <v>2939</v>
      </c>
      <c r="R584" s="120" t="s">
        <v>207</v>
      </c>
      <c r="S584" s="120">
        <v>2079</v>
      </c>
      <c r="T584" s="120" t="s">
        <v>207</v>
      </c>
      <c r="U584" s="120">
        <v>3475</v>
      </c>
      <c r="V584" s="120" t="s">
        <v>207</v>
      </c>
      <c r="W584" s="120">
        <v>2482</v>
      </c>
      <c r="X584" s="120" t="s">
        <v>207</v>
      </c>
      <c r="Y584" s="120">
        <v>2369</v>
      </c>
      <c r="Z584" s="120" t="s">
        <v>207</v>
      </c>
      <c r="AA584" s="120">
        <v>3656</v>
      </c>
      <c r="AB584" s="120" t="s">
        <v>207</v>
      </c>
      <c r="AC584" s="120">
        <v>3512</v>
      </c>
      <c r="AD584" s="120" t="s">
        <v>207</v>
      </c>
      <c r="AE584" s="120">
        <v>3544</v>
      </c>
      <c r="AF584" s="120" t="s">
        <v>207</v>
      </c>
      <c r="AG584" s="120">
        <v>2958</v>
      </c>
      <c r="AH584" s="120" t="s">
        <v>207</v>
      </c>
      <c r="AI584" s="120">
        <v>2889</v>
      </c>
      <c r="AJ584" s="120" t="s">
        <v>207</v>
      </c>
      <c r="AK584" s="120">
        <v>3078</v>
      </c>
      <c r="AL584" s="120" t="s">
        <v>207</v>
      </c>
      <c r="AM584" s="117">
        <f t="shared" si="17"/>
        <v>35710</v>
      </c>
    </row>
    <row r="585" spans="1:39" s="90" customFormat="1" ht="18" customHeight="1" x14ac:dyDescent="0.3">
      <c r="A585" s="114">
        <v>300</v>
      </c>
      <c r="B585" s="11" t="s">
        <v>992</v>
      </c>
      <c r="C585" s="84" t="s">
        <v>268</v>
      </c>
      <c r="D585" s="88" t="s">
        <v>958</v>
      </c>
      <c r="E585" s="31" t="s">
        <v>48</v>
      </c>
      <c r="F585" s="85" t="s">
        <v>49</v>
      </c>
      <c r="G585" s="375"/>
      <c r="H585" s="365">
        <v>72</v>
      </c>
      <c r="I585" s="379"/>
      <c r="J585" s="365">
        <v>9</v>
      </c>
      <c r="K585" s="120"/>
      <c r="L585" s="120"/>
      <c r="M585" s="120"/>
      <c r="N585" s="120">
        <v>19321</v>
      </c>
      <c r="O585" s="120"/>
      <c r="P585" s="120" t="s">
        <v>207</v>
      </c>
      <c r="Q585" s="120"/>
      <c r="R585" s="120" t="s">
        <v>207</v>
      </c>
      <c r="S585" s="120"/>
      <c r="T585" s="120" t="s">
        <v>207</v>
      </c>
      <c r="U585" s="120"/>
      <c r="V585" s="120" t="s">
        <v>207</v>
      </c>
      <c r="W585" s="120"/>
      <c r="X585" s="120" t="s">
        <v>207</v>
      </c>
      <c r="Y585" s="120"/>
      <c r="Z585" s="120" t="s">
        <v>207</v>
      </c>
      <c r="AA585" s="120"/>
      <c r="AB585" s="120" t="s">
        <v>207</v>
      </c>
      <c r="AC585" s="120"/>
      <c r="AD585" s="120" t="s">
        <v>207</v>
      </c>
      <c r="AE585" s="120"/>
      <c r="AF585" s="120" t="s">
        <v>207</v>
      </c>
      <c r="AG585" s="120"/>
      <c r="AH585" s="120" t="s">
        <v>207</v>
      </c>
      <c r="AI585" s="120"/>
      <c r="AJ585" s="120" t="s">
        <v>207</v>
      </c>
      <c r="AK585" s="120"/>
      <c r="AL585" s="120" t="s">
        <v>207</v>
      </c>
      <c r="AM585" s="117">
        <f t="shared" si="17"/>
        <v>0</v>
      </c>
    </row>
    <row r="586" spans="1:39" s="90" customFormat="1" ht="18" customHeight="1" x14ac:dyDescent="0.3">
      <c r="A586" s="114">
        <v>301</v>
      </c>
      <c r="B586" s="11" t="s">
        <v>993</v>
      </c>
      <c r="C586" s="84" t="s">
        <v>268</v>
      </c>
      <c r="D586" s="88" t="s">
        <v>958</v>
      </c>
      <c r="E586" s="31" t="s">
        <v>48</v>
      </c>
      <c r="F586" s="85" t="s">
        <v>49</v>
      </c>
      <c r="G586" s="375"/>
      <c r="H586" s="365">
        <v>72</v>
      </c>
      <c r="I586" s="379"/>
      <c r="J586" s="365">
        <v>9</v>
      </c>
      <c r="K586" s="120"/>
      <c r="L586" s="120"/>
      <c r="M586" s="120"/>
      <c r="N586" s="120">
        <v>9092</v>
      </c>
      <c r="O586" s="120"/>
      <c r="P586" s="120" t="s">
        <v>207</v>
      </c>
      <c r="Q586" s="120"/>
      <c r="R586" s="120" t="s">
        <v>207</v>
      </c>
      <c r="S586" s="120"/>
      <c r="T586" s="120" t="s">
        <v>207</v>
      </c>
      <c r="U586" s="120"/>
      <c r="V586" s="120" t="s">
        <v>207</v>
      </c>
      <c r="W586" s="120"/>
      <c r="X586" s="120" t="s">
        <v>207</v>
      </c>
      <c r="Y586" s="120"/>
      <c r="Z586" s="120" t="s">
        <v>207</v>
      </c>
      <c r="AA586" s="120"/>
      <c r="AB586" s="120" t="s">
        <v>207</v>
      </c>
      <c r="AC586" s="120"/>
      <c r="AD586" s="120" t="s">
        <v>207</v>
      </c>
      <c r="AE586" s="120"/>
      <c r="AF586" s="120" t="s">
        <v>207</v>
      </c>
      <c r="AG586" s="120"/>
      <c r="AH586" s="120" t="s">
        <v>207</v>
      </c>
      <c r="AI586" s="120"/>
      <c r="AJ586" s="120" t="s">
        <v>207</v>
      </c>
      <c r="AK586" s="120"/>
      <c r="AL586" s="120" t="s">
        <v>207</v>
      </c>
      <c r="AM586" s="117">
        <f t="shared" si="17"/>
        <v>0</v>
      </c>
    </row>
    <row r="587" spans="1:39" s="90" customFormat="1" ht="18" customHeight="1" x14ac:dyDescent="0.3">
      <c r="A587" s="297">
        <v>302</v>
      </c>
      <c r="B587" s="11" t="s">
        <v>994</v>
      </c>
      <c r="C587" s="84" t="s">
        <v>268</v>
      </c>
      <c r="D587" s="88" t="s">
        <v>958</v>
      </c>
      <c r="E587" s="31" t="s">
        <v>48</v>
      </c>
      <c r="F587" s="85" t="s">
        <v>49</v>
      </c>
      <c r="G587" s="375"/>
      <c r="H587" s="365">
        <v>72</v>
      </c>
      <c r="I587" s="379"/>
      <c r="J587" s="365">
        <v>9</v>
      </c>
      <c r="K587" s="120"/>
      <c r="L587" s="120"/>
      <c r="M587" s="120"/>
      <c r="N587" s="120">
        <v>8166</v>
      </c>
      <c r="O587" s="120"/>
      <c r="P587" s="120" t="s">
        <v>207</v>
      </c>
      <c r="Q587" s="120"/>
      <c r="R587" s="120" t="s">
        <v>207</v>
      </c>
      <c r="S587" s="120"/>
      <c r="T587" s="120" t="s">
        <v>207</v>
      </c>
      <c r="U587" s="120"/>
      <c r="V587" s="120" t="s">
        <v>207</v>
      </c>
      <c r="W587" s="120"/>
      <c r="X587" s="120" t="s">
        <v>207</v>
      </c>
      <c r="Y587" s="120"/>
      <c r="Z587" s="120" t="s">
        <v>207</v>
      </c>
      <c r="AA587" s="120"/>
      <c r="AB587" s="120" t="s">
        <v>207</v>
      </c>
      <c r="AC587" s="120"/>
      <c r="AD587" s="120" t="s">
        <v>207</v>
      </c>
      <c r="AE587" s="120"/>
      <c r="AF587" s="120" t="s">
        <v>207</v>
      </c>
      <c r="AG587" s="120"/>
      <c r="AH587" s="120" t="s">
        <v>207</v>
      </c>
      <c r="AI587" s="120"/>
      <c r="AJ587" s="120" t="s">
        <v>207</v>
      </c>
      <c r="AK587" s="120"/>
      <c r="AL587" s="120" t="s">
        <v>207</v>
      </c>
      <c r="AM587" s="117">
        <f t="shared" si="17"/>
        <v>0</v>
      </c>
    </row>
    <row r="588" spans="1:39" s="90" customFormat="1" ht="18" customHeight="1" x14ac:dyDescent="0.3">
      <c r="A588" s="114">
        <v>303</v>
      </c>
      <c r="B588" s="11" t="s">
        <v>995</v>
      </c>
      <c r="C588" s="84" t="s">
        <v>268</v>
      </c>
      <c r="D588" s="88" t="s">
        <v>958</v>
      </c>
      <c r="E588" s="31" t="s">
        <v>48</v>
      </c>
      <c r="F588" s="85" t="s">
        <v>49</v>
      </c>
      <c r="G588" s="375"/>
      <c r="H588" s="365">
        <v>48</v>
      </c>
      <c r="I588" s="379"/>
      <c r="J588" s="365">
        <v>6</v>
      </c>
      <c r="K588" s="120"/>
      <c r="L588" s="120"/>
      <c r="M588" s="120">
        <v>7037</v>
      </c>
      <c r="N588" s="120">
        <v>6732</v>
      </c>
      <c r="O588" s="120">
        <v>1020</v>
      </c>
      <c r="P588" s="120" t="s">
        <v>207</v>
      </c>
      <c r="Q588" s="120">
        <v>739</v>
      </c>
      <c r="R588" s="120" t="s">
        <v>207</v>
      </c>
      <c r="S588" s="120">
        <v>560</v>
      </c>
      <c r="T588" s="120" t="s">
        <v>207</v>
      </c>
      <c r="U588" s="120">
        <v>867</v>
      </c>
      <c r="V588" s="120" t="s">
        <v>207</v>
      </c>
      <c r="W588" s="120">
        <v>823</v>
      </c>
      <c r="X588" s="120" t="s">
        <v>207</v>
      </c>
      <c r="Y588" s="120">
        <v>423</v>
      </c>
      <c r="Z588" s="120" t="s">
        <v>207</v>
      </c>
      <c r="AA588" s="120">
        <v>681</v>
      </c>
      <c r="AB588" s="120" t="s">
        <v>207</v>
      </c>
      <c r="AC588" s="120">
        <v>451</v>
      </c>
      <c r="AD588" s="120" t="s">
        <v>207</v>
      </c>
      <c r="AE588" s="120">
        <v>467</v>
      </c>
      <c r="AF588" s="120" t="s">
        <v>207</v>
      </c>
      <c r="AG588" s="120">
        <v>592</v>
      </c>
      <c r="AH588" s="120" t="s">
        <v>207</v>
      </c>
      <c r="AI588" s="120">
        <v>716</v>
      </c>
      <c r="AJ588" s="120" t="s">
        <v>207</v>
      </c>
      <c r="AK588" s="120">
        <v>1128</v>
      </c>
      <c r="AL588" s="120" t="s">
        <v>207</v>
      </c>
      <c r="AM588" s="117">
        <f t="shared" si="17"/>
        <v>8467</v>
      </c>
    </row>
    <row r="589" spans="1:39" s="90" customFormat="1" ht="18" customHeight="1" x14ac:dyDescent="0.3">
      <c r="A589" s="114">
        <v>304</v>
      </c>
      <c r="B589" s="11" t="s">
        <v>996</v>
      </c>
      <c r="C589" s="84" t="s">
        <v>268</v>
      </c>
      <c r="D589" s="88" t="s">
        <v>958</v>
      </c>
      <c r="E589" s="31" t="s">
        <v>48</v>
      </c>
      <c r="F589" s="85" t="s">
        <v>49</v>
      </c>
      <c r="G589" s="375"/>
      <c r="H589" s="365">
        <v>48</v>
      </c>
      <c r="I589" s="379"/>
      <c r="J589" s="365">
        <v>6</v>
      </c>
      <c r="K589" s="120"/>
      <c r="L589" s="120"/>
      <c r="M589" s="120"/>
      <c r="N589" s="120">
        <v>6236</v>
      </c>
      <c r="O589" s="120"/>
      <c r="P589" s="120" t="s">
        <v>207</v>
      </c>
      <c r="Q589" s="120"/>
      <c r="R589" s="120" t="s">
        <v>207</v>
      </c>
      <c r="S589" s="120"/>
      <c r="T589" s="120" t="s">
        <v>207</v>
      </c>
      <c r="U589" s="120"/>
      <c r="V589" s="120" t="s">
        <v>207</v>
      </c>
      <c r="W589" s="120"/>
      <c r="X589" s="120" t="s">
        <v>207</v>
      </c>
      <c r="Y589" s="120"/>
      <c r="Z589" s="120" t="s">
        <v>207</v>
      </c>
      <c r="AA589" s="120"/>
      <c r="AB589" s="120" t="s">
        <v>207</v>
      </c>
      <c r="AC589" s="120"/>
      <c r="AD589" s="120" t="s">
        <v>207</v>
      </c>
      <c r="AE589" s="120"/>
      <c r="AF589" s="120" t="s">
        <v>207</v>
      </c>
      <c r="AG589" s="120"/>
      <c r="AH589" s="120" t="s">
        <v>207</v>
      </c>
      <c r="AI589" s="120"/>
      <c r="AJ589" s="120" t="s">
        <v>207</v>
      </c>
      <c r="AK589" s="120"/>
      <c r="AL589" s="120" t="s">
        <v>207</v>
      </c>
      <c r="AM589" s="117">
        <f t="shared" si="17"/>
        <v>0</v>
      </c>
    </row>
    <row r="590" spans="1:39" s="90" customFormat="1" ht="18" customHeight="1" x14ac:dyDescent="0.3">
      <c r="A590" s="297">
        <v>305</v>
      </c>
      <c r="B590" s="11" t="s">
        <v>997</v>
      </c>
      <c r="C590" s="84" t="s">
        <v>268</v>
      </c>
      <c r="D590" s="88" t="s">
        <v>958</v>
      </c>
      <c r="E590" s="31" t="s">
        <v>48</v>
      </c>
      <c r="F590" s="85" t="s">
        <v>49</v>
      </c>
      <c r="G590" s="375"/>
      <c r="H590" s="365">
        <v>48</v>
      </c>
      <c r="I590" s="379"/>
      <c r="J590" s="365">
        <v>6</v>
      </c>
      <c r="K590" s="120"/>
      <c r="L590" s="120"/>
      <c r="M590" s="120"/>
      <c r="N590" s="120">
        <v>6755</v>
      </c>
      <c r="O590" s="120"/>
      <c r="P590" s="120" t="s">
        <v>207</v>
      </c>
      <c r="Q590" s="120"/>
      <c r="R590" s="120" t="s">
        <v>207</v>
      </c>
      <c r="S590" s="120"/>
      <c r="T590" s="120" t="s">
        <v>207</v>
      </c>
      <c r="U590" s="120"/>
      <c r="V590" s="120" t="s">
        <v>207</v>
      </c>
      <c r="W590" s="120"/>
      <c r="X590" s="120" t="s">
        <v>207</v>
      </c>
      <c r="Y590" s="120"/>
      <c r="Z590" s="120" t="s">
        <v>207</v>
      </c>
      <c r="AA590" s="120"/>
      <c r="AB590" s="120" t="s">
        <v>207</v>
      </c>
      <c r="AC590" s="120"/>
      <c r="AD590" s="120" t="s">
        <v>207</v>
      </c>
      <c r="AE590" s="120"/>
      <c r="AF590" s="120" t="s">
        <v>207</v>
      </c>
      <c r="AG590" s="120"/>
      <c r="AH590" s="120" t="s">
        <v>207</v>
      </c>
      <c r="AI590" s="120"/>
      <c r="AJ590" s="120" t="s">
        <v>207</v>
      </c>
      <c r="AK590" s="120"/>
      <c r="AL590" s="120" t="s">
        <v>207</v>
      </c>
      <c r="AM590" s="117">
        <f t="shared" si="17"/>
        <v>0</v>
      </c>
    </row>
    <row r="591" spans="1:39" s="90" customFormat="1" ht="18" customHeight="1" x14ac:dyDescent="0.3">
      <c r="A591" s="114">
        <v>306</v>
      </c>
      <c r="B591" s="11" t="s">
        <v>998</v>
      </c>
      <c r="C591" s="84" t="s">
        <v>268</v>
      </c>
      <c r="D591" s="88" t="s">
        <v>958</v>
      </c>
      <c r="E591" s="31" t="s">
        <v>48</v>
      </c>
      <c r="F591" s="85" t="s">
        <v>49</v>
      </c>
      <c r="G591" s="375"/>
      <c r="H591" s="365">
        <v>48</v>
      </c>
      <c r="I591" s="379"/>
      <c r="J591" s="365">
        <v>6</v>
      </c>
      <c r="K591" s="120"/>
      <c r="L591" s="120"/>
      <c r="M591" s="120">
        <v>8933</v>
      </c>
      <c r="N591" s="120">
        <v>7406</v>
      </c>
      <c r="O591" s="120">
        <v>982</v>
      </c>
      <c r="P591" s="120" t="s">
        <v>207</v>
      </c>
      <c r="Q591" s="120">
        <v>997</v>
      </c>
      <c r="R591" s="120" t="s">
        <v>207</v>
      </c>
      <c r="S591" s="120">
        <v>781</v>
      </c>
      <c r="T591" s="120" t="s">
        <v>207</v>
      </c>
      <c r="U591" s="120">
        <v>585</v>
      </c>
      <c r="V591" s="120" t="s">
        <v>207</v>
      </c>
      <c r="W591" s="120">
        <v>780</v>
      </c>
      <c r="X591" s="120" t="s">
        <v>207</v>
      </c>
      <c r="Y591" s="120">
        <v>497</v>
      </c>
      <c r="Z591" s="120" t="s">
        <v>207</v>
      </c>
      <c r="AA591" s="120">
        <v>465</v>
      </c>
      <c r="AB591" s="120" t="s">
        <v>207</v>
      </c>
      <c r="AC591" s="120">
        <v>388</v>
      </c>
      <c r="AD591" s="120" t="s">
        <v>207</v>
      </c>
      <c r="AE591" s="120">
        <v>693</v>
      </c>
      <c r="AF591" s="120" t="s">
        <v>207</v>
      </c>
      <c r="AG591" s="120">
        <v>932</v>
      </c>
      <c r="AH591" s="120" t="s">
        <v>207</v>
      </c>
      <c r="AI591" s="120">
        <v>901</v>
      </c>
      <c r="AJ591" s="120" t="s">
        <v>207</v>
      </c>
      <c r="AK591" s="120">
        <v>1188</v>
      </c>
      <c r="AL591" s="120" t="s">
        <v>207</v>
      </c>
      <c r="AM591" s="117">
        <f t="shared" si="17"/>
        <v>9189</v>
      </c>
    </row>
    <row r="592" spans="1:39" s="90" customFormat="1" ht="18" customHeight="1" x14ac:dyDescent="0.3">
      <c r="A592" s="114">
        <v>307</v>
      </c>
      <c r="B592" s="11" t="s">
        <v>999</v>
      </c>
      <c r="C592" s="84" t="s">
        <v>268</v>
      </c>
      <c r="D592" s="88" t="s">
        <v>958</v>
      </c>
      <c r="E592" s="31" t="s">
        <v>48</v>
      </c>
      <c r="F592" s="85" t="s">
        <v>49</v>
      </c>
      <c r="G592" s="375"/>
      <c r="H592" s="365">
        <v>12</v>
      </c>
      <c r="I592" s="379"/>
      <c r="J592" s="365">
        <v>1</v>
      </c>
      <c r="K592" s="120"/>
      <c r="L592" s="120"/>
      <c r="M592" s="120">
        <v>11657</v>
      </c>
      <c r="N592" s="120">
        <v>9939</v>
      </c>
      <c r="O592" s="120">
        <v>1023</v>
      </c>
      <c r="P592" s="120" t="s">
        <v>207</v>
      </c>
      <c r="Q592" s="120">
        <v>770</v>
      </c>
      <c r="R592" s="120" t="s">
        <v>207</v>
      </c>
      <c r="S592" s="120">
        <v>926</v>
      </c>
      <c r="T592" s="120" t="s">
        <v>207</v>
      </c>
      <c r="U592" s="120">
        <v>915</v>
      </c>
      <c r="V592" s="120" t="s">
        <v>207</v>
      </c>
      <c r="W592" s="120">
        <v>741</v>
      </c>
      <c r="X592" s="120" t="s">
        <v>207</v>
      </c>
      <c r="Y592" s="120">
        <v>714</v>
      </c>
      <c r="Z592" s="120" t="s">
        <v>207</v>
      </c>
      <c r="AA592" s="120">
        <v>751</v>
      </c>
      <c r="AB592" s="120" t="s">
        <v>207</v>
      </c>
      <c r="AC592" s="120">
        <v>965</v>
      </c>
      <c r="AD592" s="120" t="s">
        <v>207</v>
      </c>
      <c r="AE592" s="120">
        <v>818</v>
      </c>
      <c r="AF592" s="120" t="s">
        <v>207</v>
      </c>
      <c r="AG592" s="120">
        <v>756</v>
      </c>
      <c r="AH592" s="120" t="s">
        <v>207</v>
      </c>
      <c r="AI592" s="120">
        <v>826</v>
      </c>
      <c r="AJ592" s="120" t="s">
        <v>207</v>
      </c>
      <c r="AK592" s="120">
        <v>859</v>
      </c>
      <c r="AL592" s="120" t="s">
        <v>207</v>
      </c>
      <c r="AM592" s="117">
        <f t="shared" si="17"/>
        <v>10064</v>
      </c>
    </row>
    <row r="593" spans="1:39" s="90" customFormat="1" ht="18" customHeight="1" x14ac:dyDescent="0.3">
      <c r="A593" s="297">
        <v>308</v>
      </c>
      <c r="B593" s="11" t="s">
        <v>1000</v>
      </c>
      <c r="C593" s="84" t="s">
        <v>268</v>
      </c>
      <c r="D593" s="88" t="s">
        <v>958</v>
      </c>
      <c r="E593" s="31" t="s">
        <v>48</v>
      </c>
      <c r="F593" s="85" t="s">
        <v>49</v>
      </c>
      <c r="G593" s="375"/>
      <c r="H593" s="365">
        <v>64</v>
      </c>
      <c r="I593" s="379"/>
      <c r="J593" s="365">
        <v>8</v>
      </c>
      <c r="K593" s="120"/>
      <c r="L593" s="120"/>
      <c r="M593" s="120">
        <v>15300</v>
      </c>
      <c r="N593" s="120">
        <v>15528</v>
      </c>
      <c r="O593" s="120">
        <v>1284</v>
      </c>
      <c r="P593" s="120" t="s">
        <v>207</v>
      </c>
      <c r="Q593" s="120">
        <v>1261</v>
      </c>
      <c r="R593" s="120" t="s">
        <v>207</v>
      </c>
      <c r="S593" s="120">
        <v>1476</v>
      </c>
      <c r="T593" s="120" t="s">
        <v>207</v>
      </c>
      <c r="U593" s="120">
        <v>1343</v>
      </c>
      <c r="V593" s="120" t="s">
        <v>207</v>
      </c>
      <c r="W593" s="120">
        <v>1251</v>
      </c>
      <c r="X593" s="120" t="s">
        <v>207</v>
      </c>
      <c r="Y593" s="120">
        <v>1070</v>
      </c>
      <c r="Z593" s="120" t="s">
        <v>207</v>
      </c>
      <c r="AA593" s="120">
        <v>1000</v>
      </c>
      <c r="AB593" s="120" t="s">
        <v>207</v>
      </c>
      <c r="AC593" s="120">
        <v>1264</v>
      </c>
      <c r="AD593" s="120" t="s">
        <v>207</v>
      </c>
      <c r="AE593" s="120">
        <v>1329</v>
      </c>
      <c r="AF593" s="120" t="s">
        <v>207</v>
      </c>
      <c r="AG593" s="120">
        <v>1316</v>
      </c>
      <c r="AH593" s="120" t="s">
        <v>207</v>
      </c>
      <c r="AI593" s="120">
        <v>1514</v>
      </c>
      <c r="AJ593" s="120" t="s">
        <v>207</v>
      </c>
      <c r="AK593" s="120">
        <v>1622</v>
      </c>
      <c r="AL593" s="120" t="s">
        <v>207</v>
      </c>
      <c r="AM593" s="117">
        <f t="shared" si="17"/>
        <v>15730</v>
      </c>
    </row>
    <row r="594" spans="1:39" s="90" customFormat="1" ht="18" customHeight="1" x14ac:dyDescent="0.3">
      <c r="A594" s="114">
        <v>309</v>
      </c>
      <c r="B594" s="11" t="s">
        <v>1001</v>
      </c>
      <c r="C594" s="84" t="s">
        <v>268</v>
      </c>
      <c r="D594" s="88" t="s">
        <v>958</v>
      </c>
      <c r="E594" s="31" t="s">
        <v>48</v>
      </c>
      <c r="F594" s="85" t="s">
        <v>49</v>
      </c>
      <c r="G594" s="375"/>
      <c r="H594" s="365">
        <v>64</v>
      </c>
      <c r="I594" s="379"/>
      <c r="J594" s="365">
        <v>8</v>
      </c>
      <c r="K594" s="120"/>
      <c r="L594" s="120"/>
      <c r="M594" s="120">
        <v>13289</v>
      </c>
      <c r="N594" s="120">
        <v>12072</v>
      </c>
      <c r="O594" s="120">
        <v>1864</v>
      </c>
      <c r="P594" s="120" t="s">
        <v>207</v>
      </c>
      <c r="Q594" s="120">
        <v>1426</v>
      </c>
      <c r="R594" s="120" t="s">
        <v>207</v>
      </c>
      <c r="S594" s="120">
        <v>1411</v>
      </c>
      <c r="T594" s="120" t="s">
        <v>207</v>
      </c>
      <c r="U594" s="120">
        <v>1315</v>
      </c>
      <c r="V594" s="120" t="s">
        <v>207</v>
      </c>
      <c r="W594" s="120">
        <v>1036</v>
      </c>
      <c r="X594" s="120" t="s">
        <v>207</v>
      </c>
      <c r="Y594" s="120">
        <v>1027</v>
      </c>
      <c r="Z594" s="120" t="s">
        <v>207</v>
      </c>
      <c r="AA594" s="120">
        <v>955</v>
      </c>
      <c r="AB594" s="120" t="s">
        <v>207</v>
      </c>
      <c r="AC594" s="120">
        <v>797</v>
      </c>
      <c r="AD594" s="120" t="s">
        <v>207</v>
      </c>
      <c r="AE594" s="120">
        <v>923</v>
      </c>
      <c r="AF594" s="120" t="s">
        <v>207</v>
      </c>
      <c r="AG594" s="120">
        <v>1640</v>
      </c>
      <c r="AH594" s="120" t="s">
        <v>207</v>
      </c>
      <c r="AI594" s="120">
        <v>1534</v>
      </c>
      <c r="AJ594" s="120" t="s">
        <v>207</v>
      </c>
      <c r="AK594" s="120">
        <v>1759</v>
      </c>
      <c r="AL594" s="120" t="s">
        <v>207</v>
      </c>
      <c r="AM594" s="117">
        <f t="shared" si="17"/>
        <v>15687</v>
      </c>
    </row>
    <row r="595" spans="1:39" s="90" customFormat="1" ht="18" customHeight="1" x14ac:dyDescent="0.3">
      <c r="A595" s="114">
        <v>310</v>
      </c>
      <c r="B595" s="11" t="s">
        <v>1002</v>
      </c>
      <c r="C595" s="84" t="s">
        <v>268</v>
      </c>
      <c r="D595" s="88" t="s">
        <v>958</v>
      </c>
      <c r="E595" s="31" t="s">
        <v>48</v>
      </c>
      <c r="F595" s="85" t="s">
        <v>49</v>
      </c>
      <c r="G595" s="375"/>
      <c r="H595" s="365">
        <v>108</v>
      </c>
      <c r="I595" s="379"/>
      <c r="J595" s="365">
        <v>9</v>
      </c>
      <c r="K595" s="120"/>
      <c r="L595" s="120"/>
      <c r="M595" s="120">
        <v>46629</v>
      </c>
      <c r="N595" s="120">
        <v>25386</v>
      </c>
      <c r="O595" s="120">
        <v>3351</v>
      </c>
      <c r="P595" s="120" t="s">
        <v>207</v>
      </c>
      <c r="Q595" s="120">
        <v>2532</v>
      </c>
      <c r="R595" s="120" t="s">
        <v>207</v>
      </c>
      <c r="S595" s="120">
        <v>1809</v>
      </c>
      <c r="T595" s="120" t="s">
        <v>207</v>
      </c>
      <c r="U595" s="120">
        <v>1423</v>
      </c>
      <c r="V595" s="120" t="s">
        <v>207</v>
      </c>
      <c r="W595" s="120">
        <v>1279</v>
      </c>
      <c r="X595" s="120" t="s">
        <v>207</v>
      </c>
      <c r="Y595" s="120">
        <v>1551</v>
      </c>
      <c r="Z595" s="120" t="s">
        <v>207</v>
      </c>
      <c r="AA595" s="120">
        <v>976</v>
      </c>
      <c r="AB595" s="120" t="s">
        <v>207</v>
      </c>
      <c r="AC595" s="120">
        <v>863</v>
      </c>
      <c r="AD595" s="120" t="s">
        <v>207</v>
      </c>
      <c r="AE595" s="120">
        <v>1270</v>
      </c>
      <c r="AF595" s="120" t="s">
        <v>207</v>
      </c>
      <c r="AG595" s="120">
        <v>1456</v>
      </c>
      <c r="AH595" s="120" t="s">
        <v>207</v>
      </c>
      <c r="AI595" s="120">
        <v>1860</v>
      </c>
      <c r="AJ595" s="120" t="s">
        <v>207</v>
      </c>
      <c r="AK595" s="120">
        <v>3668</v>
      </c>
      <c r="AL595" s="120" t="s">
        <v>207</v>
      </c>
      <c r="AM595" s="117">
        <f t="shared" si="17"/>
        <v>22038</v>
      </c>
    </row>
    <row r="596" spans="1:39" s="90" customFormat="1" ht="18" customHeight="1" x14ac:dyDescent="0.3">
      <c r="A596" s="297">
        <v>311</v>
      </c>
      <c r="B596" s="11" t="s">
        <v>1003</v>
      </c>
      <c r="C596" s="84" t="s">
        <v>268</v>
      </c>
      <c r="D596" s="88" t="s">
        <v>958</v>
      </c>
      <c r="E596" s="31" t="s">
        <v>48</v>
      </c>
      <c r="F596" s="85" t="s">
        <v>49</v>
      </c>
      <c r="G596" s="375"/>
      <c r="H596" s="365">
        <v>108</v>
      </c>
      <c r="I596" s="379"/>
      <c r="J596" s="365">
        <v>9</v>
      </c>
      <c r="K596" s="120"/>
      <c r="L596" s="120"/>
      <c r="M596" s="120">
        <v>9153</v>
      </c>
      <c r="N596" s="120">
        <v>6336</v>
      </c>
      <c r="O596" s="120">
        <v>558</v>
      </c>
      <c r="P596" s="120" t="s">
        <v>207</v>
      </c>
      <c r="Q596" s="120">
        <v>504</v>
      </c>
      <c r="R596" s="120" t="s">
        <v>207</v>
      </c>
      <c r="S596" s="120">
        <v>558</v>
      </c>
      <c r="T596" s="120" t="s">
        <v>207</v>
      </c>
      <c r="U596" s="120">
        <v>540</v>
      </c>
      <c r="V596" s="120" t="s">
        <v>207</v>
      </c>
      <c r="W596" s="120">
        <v>821</v>
      </c>
      <c r="X596" s="120" t="s">
        <v>207</v>
      </c>
      <c r="Y596" s="120">
        <v>500</v>
      </c>
      <c r="Z596" s="120" t="s">
        <v>207</v>
      </c>
      <c r="AA596" s="120">
        <v>439</v>
      </c>
      <c r="AB596" s="120" t="s">
        <v>207</v>
      </c>
      <c r="AC596" s="120">
        <v>323</v>
      </c>
      <c r="AD596" s="120" t="s">
        <v>207</v>
      </c>
      <c r="AE596" s="120">
        <v>779</v>
      </c>
      <c r="AF596" s="120" t="s">
        <v>207</v>
      </c>
      <c r="AG596" s="120">
        <v>1065</v>
      </c>
      <c r="AH596" s="120" t="s">
        <v>207</v>
      </c>
      <c r="AI596" s="120">
        <v>762</v>
      </c>
      <c r="AJ596" s="120" t="s">
        <v>207</v>
      </c>
      <c r="AK596" s="120">
        <v>1168</v>
      </c>
      <c r="AL596" s="120" t="s">
        <v>207</v>
      </c>
      <c r="AM596" s="117">
        <f t="shared" si="17"/>
        <v>8017</v>
      </c>
    </row>
    <row r="597" spans="1:39" s="90" customFormat="1" ht="18" customHeight="1" x14ac:dyDescent="0.3">
      <c r="A597" s="114">
        <v>312</v>
      </c>
      <c r="B597" s="11" t="s">
        <v>1004</v>
      </c>
      <c r="C597" s="84" t="s">
        <v>268</v>
      </c>
      <c r="D597" s="88" t="s">
        <v>958</v>
      </c>
      <c r="E597" s="31" t="s">
        <v>48</v>
      </c>
      <c r="F597" s="85" t="s">
        <v>49</v>
      </c>
      <c r="G597" s="375"/>
      <c r="H597" s="365">
        <v>108</v>
      </c>
      <c r="I597" s="379"/>
      <c r="J597" s="365">
        <v>9</v>
      </c>
      <c r="K597" s="120"/>
      <c r="L597" s="120"/>
      <c r="M597" s="120">
        <v>12239</v>
      </c>
      <c r="N597" s="120">
        <v>6814</v>
      </c>
      <c r="O597" s="120">
        <v>1139</v>
      </c>
      <c r="P597" s="120" t="s">
        <v>207</v>
      </c>
      <c r="Q597" s="120">
        <v>982</v>
      </c>
      <c r="R597" s="120" t="s">
        <v>207</v>
      </c>
      <c r="S597" s="120">
        <v>881</v>
      </c>
      <c r="T597" s="120" t="s">
        <v>207</v>
      </c>
      <c r="U597" s="120">
        <v>721</v>
      </c>
      <c r="V597" s="120" t="s">
        <v>207</v>
      </c>
      <c r="W597" s="120">
        <v>496</v>
      </c>
      <c r="X597" s="120" t="s">
        <v>207</v>
      </c>
      <c r="Y597" s="120">
        <v>805</v>
      </c>
      <c r="Z597" s="120" t="s">
        <v>207</v>
      </c>
      <c r="AA597" s="120">
        <v>643</v>
      </c>
      <c r="AB597" s="120" t="s">
        <v>207</v>
      </c>
      <c r="AC597" s="120">
        <v>548</v>
      </c>
      <c r="AD597" s="120" t="s">
        <v>207</v>
      </c>
      <c r="AE597" s="120">
        <v>518</v>
      </c>
      <c r="AF597" s="120" t="s">
        <v>207</v>
      </c>
      <c r="AG597" s="120">
        <v>1111</v>
      </c>
      <c r="AH597" s="120" t="s">
        <v>207</v>
      </c>
      <c r="AI597" s="120">
        <v>892</v>
      </c>
      <c r="AJ597" s="120" t="s">
        <v>207</v>
      </c>
      <c r="AK597" s="120">
        <v>1551</v>
      </c>
      <c r="AL597" s="120" t="s">
        <v>207</v>
      </c>
      <c r="AM597" s="117">
        <f t="shared" si="17"/>
        <v>10287</v>
      </c>
    </row>
    <row r="598" spans="1:39" s="90" customFormat="1" ht="18" customHeight="1" x14ac:dyDescent="0.3">
      <c r="A598" s="114">
        <v>313</v>
      </c>
      <c r="B598" s="11" t="s">
        <v>1005</v>
      </c>
      <c r="C598" s="84" t="s">
        <v>268</v>
      </c>
      <c r="D598" s="88" t="s">
        <v>958</v>
      </c>
      <c r="E598" s="31" t="s">
        <v>48</v>
      </c>
      <c r="F598" s="85" t="s">
        <v>49</v>
      </c>
      <c r="G598" s="375"/>
      <c r="H598" s="365">
        <v>16</v>
      </c>
      <c r="I598" s="379"/>
      <c r="J598" s="365">
        <v>1</v>
      </c>
      <c r="K598" s="120"/>
      <c r="L598" s="120"/>
      <c r="M598" s="120">
        <v>12329</v>
      </c>
      <c r="N598" s="120">
        <v>9092</v>
      </c>
      <c r="O598" s="120">
        <v>850</v>
      </c>
      <c r="P598" s="120" t="s">
        <v>207</v>
      </c>
      <c r="Q598" s="120">
        <v>660</v>
      </c>
      <c r="R598" s="120" t="s">
        <v>207</v>
      </c>
      <c r="S598" s="120">
        <v>745</v>
      </c>
      <c r="T598" s="120" t="s">
        <v>207</v>
      </c>
      <c r="U598" s="120">
        <v>856</v>
      </c>
      <c r="V598" s="120" t="s">
        <v>207</v>
      </c>
      <c r="W598" s="120">
        <v>698</v>
      </c>
      <c r="X598" s="120" t="s">
        <v>207</v>
      </c>
      <c r="Y598" s="120">
        <v>956</v>
      </c>
      <c r="Z598" s="120" t="s">
        <v>207</v>
      </c>
      <c r="AA598" s="120">
        <v>814</v>
      </c>
      <c r="AB598" s="120" t="s">
        <v>207</v>
      </c>
      <c r="AC598" s="120">
        <v>579</v>
      </c>
      <c r="AD598" s="120" t="s">
        <v>207</v>
      </c>
      <c r="AE598" s="120">
        <v>701</v>
      </c>
      <c r="AF598" s="120" t="s">
        <v>207</v>
      </c>
      <c r="AG598" s="120">
        <v>754</v>
      </c>
      <c r="AH598" s="120" t="s">
        <v>207</v>
      </c>
      <c r="AI598" s="120">
        <v>897</v>
      </c>
      <c r="AJ598" s="120" t="s">
        <v>207</v>
      </c>
      <c r="AK598" s="120">
        <v>1012</v>
      </c>
      <c r="AL598" s="120" t="s">
        <v>207</v>
      </c>
      <c r="AM598" s="117">
        <f t="shared" si="17"/>
        <v>9522</v>
      </c>
    </row>
    <row r="599" spans="1:39" s="90" customFormat="1" ht="18" customHeight="1" x14ac:dyDescent="0.3">
      <c r="A599" s="297">
        <v>314</v>
      </c>
      <c r="B599" s="11" t="s">
        <v>1006</v>
      </c>
      <c r="C599" s="84" t="s">
        <v>268</v>
      </c>
      <c r="D599" s="88" t="s">
        <v>958</v>
      </c>
      <c r="E599" s="31" t="s">
        <v>48</v>
      </c>
      <c r="F599" s="85" t="s">
        <v>49</v>
      </c>
      <c r="G599" s="375"/>
      <c r="H599" s="365">
        <v>16</v>
      </c>
      <c r="I599" s="379"/>
      <c r="J599" s="365">
        <v>2</v>
      </c>
      <c r="K599" s="120"/>
      <c r="L599" s="120"/>
      <c r="M599" s="120">
        <v>12749</v>
      </c>
      <c r="N599" s="120">
        <v>9267</v>
      </c>
      <c r="O599" s="120">
        <v>1140</v>
      </c>
      <c r="P599" s="120" t="s">
        <v>207</v>
      </c>
      <c r="Q599" s="120">
        <v>627</v>
      </c>
      <c r="R599" s="120" t="s">
        <v>207</v>
      </c>
      <c r="S599" s="120">
        <v>1132</v>
      </c>
      <c r="T599" s="120" t="s">
        <v>207</v>
      </c>
      <c r="U599" s="120">
        <v>1340</v>
      </c>
      <c r="V599" s="120" t="s">
        <v>207</v>
      </c>
      <c r="W599" s="120">
        <v>916</v>
      </c>
      <c r="X599" s="120" t="s">
        <v>207</v>
      </c>
      <c r="Y599" s="120">
        <v>1032</v>
      </c>
      <c r="Z599" s="120" t="s">
        <v>207</v>
      </c>
      <c r="AA599" s="120">
        <v>917</v>
      </c>
      <c r="AB599" s="120" t="s">
        <v>207</v>
      </c>
      <c r="AC599" s="120">
        <v>631</v>
      </c>
      <c r="AD599" s="120" t="s">
        <v>207</v>
      </c>
      <c r="AE599" s="120">
        <v>810</v>
      </c>
      <c r="AF599" s="120" t="s">
        <v>207</v>
      </c>
      <c r="AG599" s="120">
        <v>879</v>
      </c>
      <c r="AH599" s="120" t="s">
        <v>207</v>
      </c>
      <c r="AI599" s="120">
        <v>955</v>
      </c>
      <c r="AJ599" s="120" t="s">
        <v>207</v>
      </c>
      <c r="AK599" s="120">
        <v>1046</v>
      </c>
      <c r="AL599" s="120" t="s">
        <v>207</v>
      </c>
      <c r="AM599" s="117">
        <f t="shared" si="17"/>
        <v>11425</v>
      </c>
    </row>
    <row r="600" spans="1:39" s="90" customFormat="1" ht="18" customHeight="1" x14ac:dyDescent="0.3">
      <c r="A600" s="114">
        <v>315</v>
      </c>
      <c r="B600" s="11" t="s">
        <v>1007</v>
      </c>
      <c r="C600" s="84" t="s">
        <v>268</v>
      </c>
      <c r="D600" s="88" t="s">
        <v>958</v>
      </c>
      <c r="E600" s="31" t="s">
        <v>48</v>
      </c>
      <c r="F600" s="85" t="s">
        <v>49</v>
      </c>
      <c r="G600" s="375"/>
      <c r="H600" s="365">
        <v>18</v>
      </c>
      <c r="I600" s="379"/>
      <c r="J600" s="365">
        <v>2</v>
      </c>
      <c r="K600" s="120"/>
      <c r="L600" s="120"/>
      <c r="M600" s="120">
        <v>30615</v>
      </c>
      <c r="N600" s="120">
        <v>8380</v>
      </c>
      <c r="O600" s="120">
        <v>806</v>
      </c>
      <c r="P600" s="120" t="s">
        <v>207</v>
      </c>
      <c r="Q600" s="120">
        <v>781</v>
      </c>
      <c r="R600" s="120" t="s">
        <v>207</v>
      </c>
      <c r="S600" s="120">
        <v>815</v>
      </c>
      <c r="T600" s="120" t="s">
        <v>207</v>
      </c>
      <c r="U600" s="120">
        <v>694</v>
      </c>
      <c r="V600" s="120" t="s">
        <v>207</v>
      </c>
      <c r="W600" s="120">
        <v>682</v>
      </c>
      <c r="X600" s="120" t="s">
        <v>207</v>
      </c>
      <c r="Y600" s="120">
        <v>688</v>
      </c>
      <c r="Z600" s="120" t="s">
        <v>207</v>
      </c>
      <c r="AA600" s="120">
        <v>632</v>
      </c>
      <c r="AB600" s="120" t="s">
        <v>207</v>
      </c>
      <c r="AC600" s="120">
        <v>433</v>
      </c>
      <c r="AD600" s="120" t="s">
        <v>207</v>
      </c>
      <c r="AE600" s="120">
        <v>796</v>
      </c>
      <c r="AF600" s="120" t="s">
        <v>207</v>
      </c>
      <c r="AG600" s="120">
        <v>791</v>
      </c>
      <c r="AH600" s="120" t="s">
        <v>207</v>
      </c>
      <c r="AI600" s="120">
        <v>771</v>
      </c>
      <c r="AJ600" s="120" t="s">
        <v>207</v>
      </c>
      <c r="AK600" s="120">
        <v>850</v>
      </c>
      <c r="AL600" s="120" t="s">
        <v>207</v>
      </c>
      <c r="AM600" s="117">
        <f t="shared" si="17"/>
        <v>8739</v>
      </c>
    </row>
    <row r="601" spans="1:39" s="90" customFormat="1" ht="18" customHeight="1" x14ac:dyDescent="0.3">
      <c r="A601" s="114">
        <v>316</v>
      </c>
      <c r="B601" s="11" t="s">
        <v>1008</v>
      </c>
      <c r="C601" s="84" t="s">
        <v>268</v>
      </c>
      <c r="D601" s="88" t="s">
        <v>958</v>
      </c>
      <c r="E601" s="31" t="s">
        <v>48</v>
      </c>
      <c r="F601" s="85" t="s">
        <v>49</v>
      </c>
      <c r="G601" s="375"/>
      <c r="H601" s="365">
        <v>72</v>
      </c>
      <c r="I601" s="379"/>
      <c r="J601" s="365">
        <v>6</v>
      </c>
      <c r="K601" s="120"/>
      <c r="L601" s="120"/>
      <c r="M601" s="120"/>
      <c r="N601" s="120">
        <v>16556</v>
      </c>
      <c r="O601" s="120"/>
      <c r="P601" s="120" t="s">
        <v>207</v>
      </c>
      <c r="Q601" s="120"/>
      <c r="R601" s="120" t="s">
        <v>207</v>
      </c>
      <c r="S601" s="120"/>
      <c r="T601" s="120" t="s">
        <v>207</v>
      </c>
      <c r="U601" s="120"/>
      <c r="V601" s="120" t="s">
        <v>207</v>
      </c>
      <c r="W601" s="120"/>
      <c r="X601" s="120" t="s">
        <v>207</v>
      </c>
      <c r="Y601" s="120"/>
      <c r="Z601" s="120" t="s">
        <v>207</v>
      </c>
      <c r="AA601" s="120"/>
      <c r="AB601" s="120" t="s">
        <v>207</v>
      </c>
      <c r="AC601" s="120"/>
      <c r="AD601" s="120" t="s">
        <v>207</v>
      </c>
      <c r="AE601" s="120"/>
      <c r="AF601" s="120" t="s">
        <v>207</v>
      </c>
      <c r="AG601" s="120"/>
      <c r="AH601" s="120" t="s">
        <v>207</v>
      </c>
      <c r="AI601" s="120"/>
      <c r="AJ601" s="120" t="s">
        <v>207</v>
      </c>
      <c r="AK601" s="120"/>
      <c r="AL601" s="120" t="s">
        <v>207</v>
      </c>
      <c r="AM601" s="117">
        <f t="shared" si="17"/>
        <v>0</v>
      </c>
    </row>
    <row r="602" spans="1:39" s="90" customFormat="1" ht="18" customHeight="1" x14ac:dyDescent="0.3">
      <c r="A602" s="297">
        <v>317</v>
      </c>
      <c r="B602" s="11" t="s">
        <v>1009</v>
      </c>
      <c r="C602" s="84" t="s">
        <v>268</v>
      </c>
      <c r="D602" s="88" t="s">
        <v>958</v>
      </c>
      <c r="E602" s="31" t="s">
        <v>48</v>
      </c>
      <c r="F602" s="85" t="s">
        <v>49</v>
      </c>
      <c r="G602" s="375"/>
      <c r="H602" s="365">
        <v>72</v>
      </c>
      <c r="I602" s="379"/>
      <c r="J602" s="365">
        <v>6</v>
      </c>
      <c r="K602" s="120"/>
      <c r="L602" s="120"/>
      <c r="M602" s="120"/>
      <c r="N602" s="120">
        <v>6056</v>
      </c>
      <c r="O602" s="120"/>
      <c r="P602" s="120" t="s">
        <v>207</v>
      </c>
      <c r="Q602" s="120"/>
      <c r="R602" s="120" t="s">
        <v>207</v>
      </c>
      <c r="S602" s="120"/>
      <c r="T602" s="120" t="s">
        <v>207</v>
      </c>
      <c r="U602" s="120"/>
      <c r="V602" s="120" t="s">
        <v>207</v>
      </c>
      <c r="W602" s="120"/>
      <c r="X602" s="120" t="s">
        <v>207</v>
      </c>
      <c r="Y602" s="120"/>
      <c r="Z602" s="120" t="s">
        <v>207</v>
      </c>
      <c r="AA602" s="120"/>
      <c r="AB602" s="120" t="s">
        <v>207</v>
      </c>
      <c r="AC602" s="120"/>
      <c r="AD602" s="120" t="s">
        <v>207</v>
      </c>
      <c r="AE602" s="120"/>
      <c r="AF602" s="120" t="s">
        <v>207</v>
      </c>
      <c r="AG602" s="120"/>
      <c r="AH602" s="120" t="s">
        <v>207</v>
      </c>
      <c r="AI602" s="120"/>
      <c r="AJ602" s="120" t="s">
        <v>207</v>
      </c>
      <c r="AK602" s="120"/>
      <c r="AL602" s="120" t="s">
        <v>207</v>
      </c>
      <c r="AM602" s="117">
        <f t="shared" si="17"/>
        <v>0</v>
      </c>
    </row>
    <row r="603" spans="1:39" s="90" customFormat="1" ht="18" customHeight="1" x14ac:dyDescent="0.3">
      <c r="A603" s="114">
        <v>318</v>
      </c>
      <c r="B603" s="11" t="s">
        <v>1010</v>
      </c>
      <c r="C603" s="84" t="s">
        <v>268</v>
      </c>
      <c r="D603" s="88" t="s">
        <v>958</v>
      </c>
      <c r="E603" s="31" t="s">
        <v>48</v>
      </c>
      <c r="F603" s="85" t="s">
        <v>49</v>
      </c>
      <c r="G603" s="375"/>
      <c r="H603" s="365">
        <v>14</v>
      </c>
      <c r="I603" s="379"/>
      <c r="J603" s="365">
        <v>2</v>
      </c>
      <c r="K603" s="120"/>
      <c r="L603" s="120"/>
      <c r="M603" s="120"/>
      <c r="N603" s="120"/>
      <c r="O603" s="120"/>
      <c r="P603" s="120" t="s">
        <v>207</v>
      </c>
      <c r="Q603" s="120"/>
      <c r="R603" s="120" t="s">
        <v>207</v>
      </c>
      <c r="S603" s="120"/>
      <c r="T603" s="120" t="s">
        <v>207</v>
      </c>
      <c r="U603" s="120"/>
      <c r="V603" s="120" t="s">
        <v>207</v>
      </c>
      <c r="W603" s="120"/>
      <c r="X603" s="120" t="s">
        <v>207</v>
      </c>
      <c r="Y603" s="120"/>
      <c r="Z603" s="120" t="s">
        <v>207</v>
      </c>
      <c r="AA603" s="120"/>
      <c r="AB603" s="120" t="s">
        <v>207</v>
      </c>
      <c r="AC603" s="120"/>
      <c r="AD603" s="120" t="s">
        <v>207</v>
      </c>
      <c r="AE603" s="120"/>
      <c r="AF603" s="120" t="s">
        <v>207</v>
      </c>
      <c r="AG603" s="120"/>
      <c r="AH603" s="120" t="s">
        <v>207</v>
      </c>
      <c r="AI603" s="120"/>
      <c r="AJ603" s="120" t="s">
        <v>207</v>
      </c>
      <c r="AK603" s="120"/>
      <c r="AL603" s="120" t="s">
        <v>207</v>
      </c>
      <c r="AM603" s="117">
        <f t="shared" si="17"/>
        <v>0</v>
      </c>
    </row>
    <row r="604" spans="1:39" s="90" customFormat="1" ht="18" customHeight="1" x14ac:dyDescent="0.3">
      <c r="A604" s="114">
        <v>319</v>
      </c>
      <c r="B604" s="11" t="s">
        <v>1011</v>
      </c>
      <c r="C604" s="84" t="s">
        <v>268</v>
      </c>
      <c r="D604" s="88" t="s">
        <v>958</v>
      </c>
      <c r="E604" s="31" t="s">
        <v>48</v>
      </c>
      <c r="F604" s="85" t="s">
        <v>49</v>
      </c>
      <c r="G604" s="375"/>
      <c r="H604" s="365">
        <v>14</v>
      </c>
      <c r="I604" s="379"/>
      <c r="J604" s="365">
        <v>2</v>
      </c>
      <c r="K604" s="120"/>
      <c r="L604" s="120"/>
      <c r="M604" s="120"/>
      <c r="N604" s="120">
        <v>10877</v>
      </c>
      <c r="O604" s="120"/>
      <c r="P604" s="120" t="s">
        <v>207</v>
      </c>
      <c r="Q604" s="120"/>
      <c r="R604" s="120" t="s">
        <v>207</v>
      </c>
      <c r="S604" s="120"/>
      <c r="T604" s="120" t="s">
        <v>207</v>
      </c>
      <c r="U604" s="120"/>
      <c r="V604" s="120" t="s">
        <v>207</v>
      </c>
      <c r="W604" s="120"/>
      <c r="X604" s="120" t="s">
        <v>207</v>
      </c>
      <c r="Y604" s="120"/>
      <c r="Z604" s="120" t="s">
        <v>207</v>
      </c>
      <c r="AA604" s="120"/>
      <c r="AB604" s="120" t="s">
        <v>207</v>
      </c>
      <c r="AC604" s="120"/>
      <c r="AD604" s="120" t="s">
        <v>207</v>
      </c>
      <c r="AE604" s="120"/>
      <c r="AF604" s="120" t="s">
        <v>207</v>
      </c>
      <c r="AG604" s="120"/>
      <c r="AH604" s="120" t="s">
        <v>207</v>
      </c>
      <c r="AI604" s="120"/>
      <c r="AJ604" s="120" t="s">
        <v>207</v>
      </c>
      <c r="AK604" s="120"/>
      <c r="AL604" s="120" t="s">
        <v>207</v>
      </c>
      <c r="AM604" s="117">
        <f t="shared" si="17"/>
        <v>0</v>
      </c>
    </row>
    <row r="605" spans="1:39" s="90" customFormat="1" ht="18" customHeight="1" x14ac:dyDescent="0.3">
      <c r="A605" s="297">
        <v>320</v>
      </c>
      <c r="B605" s="11" t="s">
        <v>1012</v>
      </c>
      <c r="C605" s="84" t="s">
        <v>268</v>
      </c>
      <c r="D605" s="88" t="s">
        <v>958</v>
      </c>
      <c r="E605" s="31" t="s">
        <v>48</v>
      </c>
      <c r="F605" s="85" t="s">
        <v>49</v>
      </c>
      <c r="G605" s="375"/>
      <c r="H605" s="365">
        <v>18</v>
      </c>
      <c r="I605" s="379"/>
      <c r="J605" s="365">
        <v>2</v>
      </c>
      <c r="K605" s="120"/>
      <c r="L605" s="120"/>
      <c r="M605" s="120"/>
      <c r="N605" s="120"/>
      <c r="O605" s="120"/>
      <c r="P605" s="120" t="s">
        <v>207</v>
      </c>
      <c r="Q605" s="120"/>
      <c r="R605" s="120" t="s">
        <v>207</v>
      </c>
      <c r="S605" s="120"/>
      <c r="T605" s="120" t="s">
        <v>207</v>
      </c>
      <c r="U605" s="120"/>
      <c r="V605" s="120" t="s">
        <v>207</v>
      </c>
      <c r="W605" s="120"/>
      <c r="X605" s="120" t="s">
        <v>207</v>
      </c>
      <c r="Y605" s="120"/>
      <c r="Z605" s="120" t="s">
        <v>207</v>
      </c>
      <c r="AA605" s="120"/>
      <c r="AB605" s="120" t="s">
        <v>207</v>
      </c>
      <c r="AC605" s="120"/>
      <c r="AD605" s="120" t="s">
        <v>207</v>
      </c>
      <c r="AE605" s="120"/>
      <c r="AF605" s="120" t="s">
        <v>207</v>
      </c>
      <c r="AG605" s="120"/>
      <c r="AH605" s="120" t="s">
        <v>207</v>
      </c>
      <c r="AI605" s="120"/>
      <c r="AJ605" s="120" t="s">
        <v>207</v>
      </c>
      <c r="AK605" s="120"/>
      <c r="AL605" s="120" t="s">
        <v>207</v>
      </c>
      <c r="AM605" s="117">
        <f t="shared" si="17"/>
        <v>0</v>
      </c>
    </row>
    <row r="606" spans="1:39" s="90" customFormat="1" ht="18" customHeight="1" x14ac:dyDescent="0.3">
      <c r="A606" s="114">
        <v>321</v>
      </c>
      <c r="B606" s="11" t="s">
        <v>1013</v>
      </c>
      <c r="C606" s="84" t="s">
        <v>268</v>
      </c>
      <c r="D606" s="88" t="s">
        <v>958</v>
      </c>
      <c r="E606" s="31" t="s">
        <v>48</v>
      </c>
      <c r="F606" s="85" t="s">
        <v>49</v>
      </c>
      <c r="G606" s="375"/>
      <c r="H606" s="365">
        <v>35</v>
      </c>
      <c r="I606" s="379"/>
      <c r="J606" s="365">
        <v>5</v>
      </c>
      <c r="K606" s="120"/>
      <c r="L606" s="120"/>
      <c r="M606" s="120">
        <v>2727</v>
      </c>
      <c r="N606" s="120">
        <v>3172</v>
      </c>
      <c r="O606" s="120">
        <v>349</v>
      </c>
      <c r="P606" s="120" t="s">
        <v>207</v>
      </c>
      <c r="Q606" s="120">
        <v>331</v>
      </c>
      <c r="R606" s="120" t="s">
        <v>207</v>
      </c>
      <c r="S606" s="120">
        <v>185</v>
      </c>
      <c r="T606" s="120" t="s">
        <v>207</v>
      </c>
      <c r="U606" s="120">
        <v>252</v>
      </c>
      <c r="V606" s="120" t="s">
        <v>207</v>
      </c>
      <c r="W606" s="120">
        <v>241</v>
      </c>
      <c r="X606" s="120" t="s">
        <v>207</v>
      </c>
      <c r="Y606" s="120">
        <v>242</v>
      </c>
      <c r="Z606" s="120" t="s">
        <v>207</v>
      </c>
      <c r="AA606" s="120">
        <v>128</v>
      </c>
      <c r="AB606" s="120" t="s">
        <v>207</v>
      </c>
      <c r="AC606" s="120">
        <v>113</v>
      </c>
      <c r="AD606" s="120" t="s">
        <v>207</v>
      </c>
      <c r="AE606" s="120">
        <v>256</v>
      </c>
      <c r="AF606" s="120" t="s">
        <v>207</v>
      </c>
      <c r="AG606" s="120">
        <v>225</v>
      </c>
      <c r="AH606" s="120" t="s">
        <v>207</v>
      </c>
      <c r="AI606" s="120">
        <v>306</v>
      </c>
      <c r="AJ606" s="120" t="s">
        <v>207</v>
      </c>
      <c r="AK606" s="120">
        <v>537</v>
      </c>
      <c r="AL606" s="120" t="s">
        <v>207</v>
      </c>
      <c r="AM606" s="117">
        <f t="shared" si="17"/>
        <v>3165</v>
      </c>
    </row>
    <row r="607" spans="1:39" s="90" customFormat="1" ht="18" customHeight="1" x14ac:dyDescent="0.3">
      <c r="A607" s="114">
        <v>322</v>
      </c>
      <c r="B607" s="11" t="s">
        <v>1014</v>
      </c>
      <c r="C607" s="84" t="s">
        <v>268</v>
      </c>
      <c r="D607" s="88" t="s">
        <v>958</v>
      </c>
      <c r="E607" s="31" t="s">
        <v>48</v>
      </c>
      <c r="F607" s="85" t="s">
        <v>49</v>
      </c>
      <c r="G607" s="375"/>
      <c r="H607" s="365">
        <v>42</v>
      </c>
      <c r="I607" s="379"/>
      <c r="J607" s="365">
        <v>6</v>
      </c>
      <c r="K607" s="120"/>
      <c r="L607" s="120"/>
      <c r="M607" s="120"/>
      <c r="N607" s="120"/>
      <c r="O607" s="120"/>
      <c r="P607" s="120" t="s">
        <v>207</v>
      </c>
      <c r="Q607" s="120"/>
      <c r="R607" s="120" t="s">
        <v>207</v>
      </c>
      <c r="S607" s="120"/>
      <c r="T607" s="120" t="s">
        <v>207</v>
      </c>
      <c r="U607" s="120"/>
      <c r="V607" s="120" t="s">
        <v>207</v>
      </c>
      <c r="W607" s="120"/>
      <c r="X607" s="120" t="s">
        <v>207</v>
      </c>
      <c r="Y607" s="120"/>
      <c r="Z607" s="120" t="s">
        <v>207</v>
      </c>
      <c r="AA607" s="120"/>
      <c r="AB607" s="120" t="s">
        <v>207</v>
      </c>
      <c r="AC607" s="120"/>
      <c r="AD607" s="120" t="s">
        <v>207</v>
      </c>
      <c r="AE607" s="120"/>
      <c r="AF607" s="120" t="s">
        <v>207</v>
      </c>
      <c r="AG607" s="120"/>
      <c r="AH607" s="120" t="s">
        <v>207</v>
      </c>
      <c r="AI607" s="120"/>
      <c r="AJ607" s="120" t="s">
        <v>207</v>
      </c>
      <c r="AK607" s="120"/>
      <c r="AL607" s="120" t="s">
        <v>207</v>
      </c>
      <c r="AM607" s="117">
        <f t="shared" si="17"/>
        <v>0</v>
      </c>
    </row>
    <row r="608" spans="1:39" s="90" customFormat="1" ht="18" customHeight="1" x14ac:dyDescent="0.3">
      <c r="A608" s="297">
        <v>323</v>
      </c>
      <c r="B608" s="11" t="s">
        <v>1015</v>
      </c>
      <c r="C608" s="84" t="s">
        <v>268</v>
      </c>
      <c r="D608" s="88" t="s">
        <v>958</v>
      </c>
      <c r="E608" s="31" t="s">
        <v>48</v>
      </c>
      <c r="F608" s="85" t="s">
        <v>49</v>
      </c>
      <c r="G608" s="375"/>
      <c r="H608" s="365">
        <v>42</v>
      </c>
      <c r="I608" s="379"/>
      <c r="J608" s="365">
        <v>6</v>
      </c>
      <c r="K608" s="120"/>
      <c r="L608" s="120"/>
      <c r="M608" s="120"/>
      <c r="N608" s="120"/>
      <c r="O608" s="120"/>
      <c r="P608" s="120" t="s">
        <v>207</v>
      </c>
      <c r="Q608" s="120"/>
      <c r="R608" s="120" t="s">
        <v>207</v>
      </c>
      <c r="S608" s="120"/>
      <c r="T608" s="120" t="s">
        <v>207</v>
      </c>
      <c r="U608" s="120"/>
      <c r="V608" s="120" t="s">
        <v>207</v>
      </c>
      <c r="W608" s="120"/>
      <c r="X608" s="120" t="s">
        <v>207</v>
      </c>
      <c r="Y608" s="120"/>
      <c r="Z608" s="120" t="s">
        <v>207</v>
      </c>
      <c r="AA608" s="120"/>
      <c r="AB608" s="120" t="s">
        <v>207</v>
      </c>
      <c r="AC608" s="120"/>
      <c r="AD608" s="120" t="s">
        <v>207</v>
      </c>
      <c r="AE608" s="120"/>
      <c r="AF608" s="120" t="s">
        <v>207</v>
      </c>
      <c r="AG608" s="120"/>
      <c r="AH608" s="120" t="s">
        <v>207</v>
      </c>
      <c r="AI608" s="120"/>
      <c r="AJ608" s="120" t="s">
        <v>207</v>
      </c>
      <c r="AK608" s="120"/>
      <c r="AL608" s="120" t="s">
        <v>207</v>
      </c>
      <c r="AM608" s="117">
        <f t="shared" si="17"/>
        <v>0</v>
      </c>
    </row>
    <row r="609" spans="1:39" s="90" customFormat="1" ht="18" customHeight="1" x14ac:dyDescent="0.3">
      <c r="A609" s="114">
        <v>324</v>
      </c>
      <c r="B609" s="11" t="s">
        <v>1016</v>
      </c>
      <c r="C609" s="84" t="s">
        <v>268</v>
      </c>
      <c r="D609" s="88" t="s">
        <v>958</v>
      </c>
      <c r="E609" s="31" t="s">
        <v>48</v>
      </c>
      <c r="F609" s="85" t="s">
        <v>49</v>
      </c>
      <c r="G609" s="375"/>
      <c r="H609" s="365">
        <v>54</v>
      </c>
      <c r="I609" s="379"/>
      <c r="J609" s="365">
        <v>5</v>
      </c>
      <c r="K609" s="120"/>
      <c r="L609" s="120"/>
      <c r="M609" s="120"/>
      <c r="N609" s="120"/>
      <c r="O609" s="120"/>
      <c r="P609" s="120" t="s">
        <v>207</v>
      </c>
      <c r="Q609" s="120"/>
      <c r="R609" s="120" t="s">
        <v>207</v>
      </c>
      <c r="S609" s="120"/>
      <c r="T609" s="120" t="s">
        <v>207</v>
      </c>
      <c r="U609" s="120"/>
      <c r="V609" s="120" t="s">
        <v>207</v>
      </c>
      <c r="W609" s="120"/>
      <c r="X609" s="120" t="s">
        <v>207</v>
      </c>
      <c r="Y609" s="120"/>
      <c r="Z609" s="120" t="s">
        <v>207</v>
      </c>
      <c r="AA609" s="120"/>
      <c r="AB609" s="120" t="s">
        <v>207</v>
      </c>
      <c r="AC609" s="120"/>
      <c r="AD609" s="120" t="s">
        <v>207</v>
      </c>
      <c r="AE609" s="120"/>
      <c r="AF609" s="120" t="s">
        <v>207</v>
      </c>
      <c r="AG609" s="120"/>
      <c r="AH609" s="120" t="s">
        <v>207</v>
      </c>
      <c r="AI609" s="120"/>
      <c r="AJ609" s="120" t="s">
        <v>207</v>
      </c>
      <c r="AK609" s="120"/>
      <c r="AL609" s="120" t="s">
        <v>207</v>
      </c>
      <c r="AM609" s="117">
        <f t="shared" si="17"/>
        <v>0</v>
      </c>
    </row>
    <row r="610" spans="1:39" s="90" customFormat="1" ht="18" customHeight="1" x14ac:dyDescent="0.3">
      <c r="A610" s="114">
        <v>325</v>
      </c>
      <c r="B610" s="11" t="s">
        <v>1017</v>
      </c>
      <c r="C610" s="84" t="s">
        <v>268</v>
      </c>
      <c r="D610" s="88" t="s">
        <v>958</v>
      </c>
      <c r="E610" s="31" t="s">
        <v>48</v>
      </c>
      <c r="F610" s="85" t="s">
        <v>49</v>
      </c>
      <c r="G610" s="375"/>
      <c r="H610" s="365">
        <v>15</v>
      </c>
      <c r="I610" s="379"/>
      <c r="J610" s="365">
        <v>1</v>
      </c>
      <c r="K610" s="120"/>
      <c r="L610" s="120"/>
      <c r="M610" s="120">
        <v>4920</v>
      </c>
      <c r="N610" s="120">
        <v>4039</v>
      </c>
      <c r="O610" s="120">
        <v>348</v>
      </c>
      <c r="P610" s="120" t="s">
        <v>207</v>
      </c>
      <c r="Q610" s="120">
        <v>224</v>
      </c>
      <c r="R610" s="120" t="s">
        <v>207</v>
      </c>
      <c r="S610" s="120">
        <v>430</v>
      </c>
      <c r="T610" s="120" t="s">
        <v>207</v>
      </c>
      <c r="U610" s="120">
        <v>260</v>
      </c>
      <c r="V610" s="120" t="s">
        <v>207</v>
      </c>
      <c r="W610" s="120">
        <v>328</v>
      </c>
      <c r="X610" s="120" t="s">
        <v>207</v>
      </c>
      <c r="Y610" s="120">
        <v>229</v>
      </c>
      <c r="Z610" s="120" t="s">
        <v>207</v>
      </c>
      <c r="AA610" s="120">
        <v>237</v>
      </c>
      <c r="AB610" s="120" t="s">
        <v>207</v>
      </c>
      <c r="AC610" s="120">
        <v>226</v>
      </c>
      <c r="AD610" s="120" t="s">
        <v>207</v>
      </c>
      <c r="AE610" s="120">
        <v>371</v>
      </c>
      <c r="AF610" s="120" t="s">
        <v>207</v>
      </c>
      <c r="AG610" s="120">
        <v>230</v>
      </c>
      <c r="AH610" s="120" t="s">
        <v>207</v>
      </c>
      <c r="AI610" s="120">
        <v>184</v>
      </c>
      <c r="AJ610" s="120" t="s">
        <v>207</v>
      </c>
      <c r="AK610" s="120">
        <v>474</v>
      </c>
      <c r="AL610" s="120" t="s">
        <v>207</v>
      </c>
      <c r="AM610" s="117">
        <f t="shared" si="17"/>
        <v>3541</v>
      </c>
    </row>
    <row r="611" spans="1:39" s="90" customFormat="1" ht="18" customHeight="1" x14ac:dyDescent="0.3">
      <c r="A611" s="297">
        <v>326</v>
      </c>
      <c r="B611" s="11" t="s">
        <v>1018</v>
      </c>
      <c r="C611" s="84" t="s">
        <v>268</v>
      </c>
      <c r="D611" s="88" t="s">
        <v>958</v>
      </c>
      <c r="E611" s="31" t="s">
        <v>48</v>
      </c>
      <c r="F611" s="85" t="s">
        <v>49</v>
      </c>
      <c r="G611" s="375"/>
      <c r="H611" s="365">
        <v>16</v>
      </c>
      <c r="I611" s="379"/>
      <c r="J611" s="365">
        <v>2</v>
      </c>
      <c r="K611" s="120"/>
      <c r="L611" s="120"/>
      <c r="M611" s="120"/>
      <c r="N611" s="120"/>
      <c r="O611" s="120"/>
      <c r="P611" s="120" t="s">
        <v>207</v>
      </c>
      <c r="Q611" s="120"/>
      <c r="R611" s="120" t="s">
        <v>207</v>
      </c>
      <c r="S611" s="120"/>
      <c r="T611" s="120" t="s">
        <v>207</v>
      </c>
      <c r="U611" s="120"/>
      <c r="V611" s="120" t="s">
        <v>207</v>
      </c>
      <c r="W611" s="120"/>
      <c r="X611" s="120" t="s">
        <v>207</v>
      </c>
      <c r="Y611" s="120"/>
      <c r="Z611" s="120" t="s">
        <v>207</v>
      </c>
      <c r="AA611" s="120"/>
      <c r="AB611" s="120" t="s">
        <v>207</v>
      </c>
      <c r="AC611" s="120"/>
      <c r="AD611" s="120" t="s">
        <v>207</v>
      </c>
      <c r="AE611" s="120"/>
      <c r="AF611" s="120" t="s">
        <v>207</v>
      </c>
      <c r="AG611" s="120"/>
      <c r="AH611" s="120" t="s">
        <v>207</v>
      </c>
      <c r="AI611" s="120"/>
      <c r="AJ611" s="120" t="s">
        <v>207</v>
      </c>
      <c r="AK611" s="120"/>
      <c r="AL611" s="120" t="s">
        <v>207</v>
      </c>
      <c r="AM611" s="117">
        <f t="shared" si="17"/>
        <v>0</v>
      </c>
    </row>
    <row r="612" spans="1:39" s="90" customFormat="1" ht="18" customHeight="1" x14ac:dyDescent="0.3">
      <c r="A612" s="114">
        <v>327</v>
      </c>
      <c r="B612" s="11" t="s">
        <v>1019</v>
      </c>
      <c r="C612" s="84" t="s">
        <v>268</v>
      </c>
      <c r="D612" s="88" t="s">
        <v>958</v>
      </c>
      <c r="E612" s="31" t="s">
        <v>48</v>
      </c>
      <c r="F612" s="85" t="s">
        <v>49</v>
      </c>
      <c r="G612" s="375"/>
      <c r="H612" s="365">
        <v>16</v>
      </c>
      <c r="I612" s="379"/>
      <c r="J612" s="365">
        <v>2</v>
      </c>
      <c r="K612" s="120"/>
      <c r="L612" s="120"/>
      <c r="M612" s="120"/>
      <c r="N612" s="120"/>
      <c r="O612" s="120"/>
      <c r="P612" s="120" t="s">
        <v>207</v>
      </c>
      <c r="Q612" s="120"/>
      <c r="R612" s="120" t="s">
        <v>207</v>
      </c>
      <c r="S612" s="120"/>
      <c r="T612" s="120" t="s">
        <v>207</v>
      </c>
      <c r="U612" s="120"/>
      <c r="V612" s="120" t="s">
        <v>207</v>
      </c>
      <c r="W612" s="120"/>
      <c r="X612" s="120" t="s">
        <v>207</v>
      </c>
      <c r="Y612" s="120"/>
      <c r="Z612" s="120" t="s">
        <v>207</v>
      </c>
      <c r="AA612" s="120"/>
      <c r="AB612" s="120" t="s">
        <v>207</v>
      </c>
      <c r="AC612" s="120"/>
      <c r="AD612" s="120" t="s">
        <v>207</v>
      </c>
      <c r="AE612" s="120"/>
      <c r="AF612" s="120" t="s">
        <v>207</v>
      </c>
      <c r="AG612" s="120"/>
      <c r="AH612" s="120" t="s">
        <v>207</v>
      </c>
      <c r="AI612" s="120"/>
      <c r="AJ612" s="120" t="s">
        <v>207</v>
      </c>
      <c r="AK612" s="120"/>
      <c r="AL612" s="120" t="s">
        <v>207</v>
      </c>
      <c r="AM612" s="117">
        <f t="shared" si="17"/>
        <v>0</v>
      </c>
    </row>
    <row r="613" spans="1:39" s="90" customFormat="1" ht="18" customHeight="1" x14ac:dyDescent="0.3">
      <c r="A613" s="114">
        <v>328</v>
      </c>
      <c r="B613" s="11" t="s">
        <v>1020</v>
      </c>
      <c r="C613" s="84" t="s">
        <v>268</v>
      </c>
      <c r="D613" s="88" t="s">
        <v>958</v>
      </c>
      <c r="E613" s="31" t="s">
        <v>48</v>
      </c>
      <c r="F613" s="85" t="s">
        <v>49</v>
      </c>
      <c r="G613" s="375"/>
      <c r="H613" s="365">
        <v>26</v>
      </c>
      <c r="I613" s="379"/>
      <c r="J613" s="365">
        <v>4</v>
      </c>
      <c r="K613" s="120"/>
      <c r="L613" s="120"/>
      <c r="M613" s="120">
        <v>7894</v>
      </c>
      <c r="N613" s="120">
        <v>8136</v>
      </c>
      <c r="O613" s="120"/>
      <c r="P613" s="120" t="s">
        <v>207</v>
      </c>
      <c r="Q613" s="120"/>
      <c r="R613" s="120" t="s">
        <v>207</v>
      </c>
      <c r="S613" s="120"/>
      <c r="T613" s="120" t="s">
        <v>207</v>
      </c>
      <c r="U613" s="120"/>
      <c r="V613" s="120" t="s">
        <v>207</v>
      </c>
      <c r="W613" s="120"/>
      <c r="X613" s="120" t="s">
        <v>207</v>
      </c>
      <c r="Y613" s="120"/>
      <c r="Z613" s="120" t="s">
        <v>207</v>
      </c>
      <c r="AA613" s="120"/>
      <c r="AB613" s="120" t="s">
        <v>207</v>
      </c>
      <c r="AC613" s="120"/>
      <c r="AD613" s="120" t="s">
        <v>207</v>
      </c>
      <c r="AE613" s="120"/>
      <c r="AF613" s="120" t="s">
        <v>207</v>
      </c>
      <c r="AG613" s="120"/>
      <c r="AH613" s="120" t="s">
        <v>207</v>
      </c>
      <c r="AI613" s="120"/>
      <c r="AJ613" s="120" t="s">
        <v>207</v>
      </c>
      <c r="AK613" s="120"/>
      <c r="AL613" s="120" t="s">
        <v>207</v>
      </c>
      <c r="AM613" s="117">
        <f t="shared" si="17"/>
        <v>0</v>
      </c>
    </row>
    <row r="614" spans="1:39" s="90" customFormat="1" ht="18" customHeight="1" x14ac:dyDescent="0.3">
      <c r="A614" s="297">
        <v>329</v>
      </c>
      <c r="B614" s="11" t="s">
        <v>1021</v>
      </c>
      <c r="C614" s="84" t="s">
        <v>268</v>
      </c>
      <c r="D614" s="88" t="s">
        <v>958</v>
      </c>
      <c r="E614" s="31" t="s">
        <v>48</v>
      </c>
      <c r="F614" s="85" t="s">
        <v>49</v>
      </c>
      <c r="G614" s="375"/>
      <c r="H614" s="365">
        <v>26</v>
      </c>
      <c r="I614" s="379"/>
      <c r="J614" s="365">
        <v>4</v>
      </c>
      <c r="K614" s="120"/>
      <c r="L614" s="120"/>
      <c r="M614" s="120">
        <v>6877</v>
      </c>
      <c r="N614" s="120">
        <v>7951</v>
      </c>
      <c r="O614" s="120">
        <v>801</v>
      </c>
      <c r="P614" s="120" t="s">
        <v>207</v>
      </c>
      <c r="Q614" s="120">
        <v>488</v>
      </c>
      <c r="R614" s="120" t="s">
        <v>207</v>
      </c>
      <c r="S614" s="120">
        <v>228</v>
      </c>
      <c r="T614" s="120" t="s">
        <v>207</v>
      </c>
      <c r="U614" s="120">
        <v>376</v>
      </c>
      <c r="V614" s="120" t="s">
        <v>207</v>
      </c>
      <c r="W614" s="120">
        <v>591</v>
      </c>
      <c r="X614" s="120" t="s">
        <v>207</v>
      </c>
      <c r="Y614" s="120">
        <v>612</v>
      </c>
      <c r="Z614" s="120" t="s">
        <v>207</v>
      </c>
      <c r="AA614" s="120">
        <v>488</v>
      </c>
      <c r="AB614" s="120" t="s">
        <v>207</v>
      </c>
      <c r="AC614" s="120">
        <v>247</v>
      </c>
      <c r="AD614" s="120" t="s">
        <v>207</v>
      </c>
      <c r="AE614" s="120">
        <v>422</v>
      </c>
      <c r="AF614" s="120" t="s">
        <v>207</v>
      </c>
      <c r="AG614" s="120">
        <v>797</v>
      </c>
      <c r="AH614" s="120" t="s">
        <v>207</v>
      </c>
      <c r="AI614" s="120">
        <v>498</v>
      </c>
      <c r="AJ614" s="120" t="s">
        <v>207</v>
      </c>
      <c r="AK614" s="120">
        <v>982</v>
      </c>
      <c r="AL614" s="120" t="s">
        <v>207</v>
      </c>
      <c r="AM614" s="117">
        <f t="shared" si="17"/>
        <v>6530</v>
      </c>
    </row>
    <row r="615" spans="1:39" s="90" customFormat="1" ht="18" customHeight="1" x14ac:dyDescent="0.3">
      <c r="A615" s="114">
        <v>330</v>
      </c>
      <c r="B615" s="11" t="s">
        <v>1022</v>
      </c>
      <c r="C615" s="84" t="s">
        <v>268</v>
      </c>
      <c r="D615" s="88" t="s">
        <v>958</v>
      </c>
      <c r="E615" s="31" t="s">
        <v>48</v>
      </c>
      <c r="F615" s="85" t="s">
        <v>49</v>
      </c>
      <c r="G615" s="375"/>
      <c r="H615" s="365">
        <v>14</v>
      </c>
      <c r="I615" s="379"/>
      <c r="J615" s="365">
        <v>2</v>
      </c>
      <c r="K615" s="120"/>
      <c r="L615" s="120"/>
      <c r="M615" s="120"/>
      <c r="N615" s="120"/>
      <c r="O615" s="120"/>
      <c r="P615" s="120" t="s">
        <v>207</v>
      </c>
      <c r="Q615" s="120"/>
      <c r="R615" s="120" t="s">
        <v>207</v>
      </c>
      <c r="S615" s="120"/>
      <c r="T615" s="120" t="s">
        <v>207</v>
      </c>
      <c r="U615" s="120"/>
      <c r="V615" s="120" t="s">
        <v>207</v>
      </c>
      <c r="W615" s="120"/>
      <c r="X615" s="120" t="s">
        <v>207</v>
      </c>
      <c r="Y615" s="120"/>
      <c r="Z615" s="120" t="s">
        <v>207</v>
      </c>
      <c r="AA615" s="120"/>
      <c r="AB615" s="120" t="s">
        <v>207</v>
      </c>
      <c r="AC615" s="120"/>
      <c r="AD615" s="120" t="s">
        <v>207</v>
      </c>
      <c r="AE615" s="120"/>
      <c r="AF615" s="120" t="s">
        <v>207</v>
      </c>
      <c r="AG615" s="120"/>
      <c r="AH615" s="120" t="s">
        <v>207</v>
      </c>
      <c r="AI615" s="120"/>
      <c r="AJ615" s="120" t="s">
        <v>207</v>
      </c>
      <c r="AK615" s="120"/>
      <c r="AL615" s="120" t="s">
        <v>207</v>
      </c>
      <c r="AM615" s="117">
        <f t="shared" si="17"/>
        <v>0</v>
      </c>
    </row>
    <row r="616" spans="1:39" s="90" customFormat="1" ht="18" customHeight="1" x14ac:dyDescent="0.3">
      <c r="A616" s="114">
        <v>331</v>
      </c>
      <c r="B616" s="11" t="s">
        <v>1023</v>
      </c>
      <c r="C616" s="84" t="s">
        <v>268</v>
      </c>
      <c r="D616" s="88" t="s">
        <v>958</v>
      </c>
      <c r="E616" s="31" t="s">
        <v>48</v>
      </c>
      <c r="F616" s="85" t="s">
        <v>49</v>
      </c>
      <c r="G616" s="375"/>
      <c r="H616" s="365">
        <v>14</v>
      </c>
      <c r="I616" s="379"/>
      <c r="J616" s="365">
        <v>2</v>
      </c>
      <c r="K616" s="120"/>
      <c r="L616" s="120"/>
      <c r="M616" s="120"/>
      <c r="N616" s="120"/>
      <c r="O616" s="120"/>
      <c r="P616" s="120" t="s">
        <v>207</v>
      </c>
      <c r="Q616" s="120"/>
      <c r="R616" s="120" t="s">
        <v>207</v>
      </c>
      <c r="S616" s="120"/>
      <c r="T616" s="120" t="s">
        <v>207</v>
      </c>
      <c r="U616" s="120"/>
      <c r="V616" s="120" t="s">
        <v>207</v>
      </c>
      <c r="W616" s="120"/>
      <c r="X616" s="120" t="s">
        <v>207</v>
      </c>
      <c r="Y616" s="120"/>
      <c r="Z616" s="120" t="s">
        <v>207</v>
      </c>
      <c r="AA616" s="120"/>
      <c r="AB616" s="120" t="s">
        <v>207</v>
      </c>
      <c r="AC616" s="120"/>
      <c r="AD616" s="120" t="s">
        <v>207</v>
      </c>
      <c r="AE616" s="120"/>
      <c r="AF616" s="120" t="s">
        <v>207</v>
      </c>
      <c r="AG616" s="120"/>
      <c r="AH616" s="120" t="s">
        <v>207</v>
      </c>
      <c r="AI616" s="120"/>
      <c r="AJ616" s="120" t="s">
        <v>207</v>
      </c>
      <c r="AK616" s="120"/>
      <c r="AL616" s="120" t="s">
        <v>207</v>
      </c>
      <c r="AM616" s="117">
        <f t="shared" si="17"/>
        <v>0</v>
      </c>
    </row>
    <row r="617" spans="1:39" s="90" customFormat="1" ht="18" customHeight="1" x14ac:dyDescent="0.3">
      <c r="A617" s="297">
        <v>332</v>
      </c>
      <c r="B617" s="11" t="s">
        <v>1024</v>
      </c>
      <c r="C617" s="84" t="s">
        <v>268</v>
      </c>
      <c r="D617" s="88" t="s">
        <v>958</v>
      </c>
      <c r="E617" s="31" t="s">
        <v>48</v>
      </c>
      <c r="F617" s="85" t="s">
        <v>49</v>
      </c>
      <c r="G617" s="375"/>
      <c r="H617" s="365">
        <v>14</v>
      </c>
      <c r="I617" s="379"/>
      <c r="J617" s="365">
        <v>2</v>
      </c>
      <c r="K617" s="120"/>
      <c r="L617" s="120"/>
      <c r="M617" s="120"/>
      <c r="N617" s="120"/>
      <c r="O617" s="120"/>
      <c r="P617" s="120" t="s">
        <v>207</v>
      </c>
      <c r="Q617" s="120"/>
      <c r="R617" s="120" t="s">
        <v>207</v>
      </c>
      <c r="S617" s="120"/>
      <c r="T617" s="120" t="s">
        <v>207</v>
      </c>
      <c r="U617" s="120"/>
      <c r="V617" s="120" t="s">
        <v>207</v>
      </c>
      <c r="W617" s="120"/>
      <c r="X617" s="120" t="s">
        <v>207</v>
      </c>
      <c r="Y617" s="120"/>
      <c r="Z617" s="120" t="s">
        <v>207</v>
      </c>
      <c r="AA617" s="120"/>
      <c r="AB617" s="120" t="s">
        <v>207</v>
      </c>
      <c r="AC617" s="120"/>
      <c r="AD617" s="120" t="s">
        <v>207</v>
      </c>
      <c r="AE617" s="120"/>
      <c r="AF617" s="120" t="s">
        <v>207</v>
      </c>
      <c r="AG617" s="120"/>
      <c r="AH617" s="120" t="s">
        <v>207</v>
      </c>
      <c r="AI617" s="120"/>
      <c r="AJ617" s="120" t="s">
        <v>207</v>
      </c>
      <c r="AK617" s="120"/>
      <c r="AL617" s="120" t="s">
        <v>207</v>
      </c>
      <c r="AM617" s="117">
        <f t="shared" si="17"/>
        <v>0</v>
      </c>
    </row>
    <row r="618" spans="1:39" s="90" customFormat="1" ht="18" customHeight="1" x14ac:dyDescent="0.3">
      <c r="A618" s="114">
        <v>333</v>
      </c>
      <c r="B618" s="11" t="s">
        <v>1025</v>
      </c>
      <c r="C618" s="84" t="s">
        <v>268</v>
      </c>
      <c r="D618" s="88" t="s">
        <v>958</v>
      </c>
      <c r="E618" s="31" t="s">
        <v>48</v>
      </c>
      <c r="F618" s="85" t="s">
        <v>49</v>
      </c>
      <c r="G618" s="375"/>
      <c r="H618" s="365">
        <v>27</v>
      </c>
      <c r="I618" s="379"/>
      <c r="J618" s="365">
        <v>3</v>
      </c>
      <c r="K618" s="120"/>
      <c r="L618" s="120"/>
      <c r="M618" s="120">
        <v>10286</v>
      </c>
      <c r="N618" s="120">
        <v>5851</v>
      </c>
      <c r="O618" s="120">
        <v>930</v>
      </c>
      <c r="P618" s="120" t="s">
        <v>207</v>
      </c>
      <c r="Q618" s="120">
        <v>637</v>
      </c>
      <c r="R618" s="120" t="s">
        <v>207</v>
      </c>
      <c r="S618" s="120">
        <v>488</v>
      </c>
      <c r="T618" s="120" t="s">
        <v>207</v>
      </c>
      <c r="U618" s="120">
        <v>424</v>
      </c>
      <c r="V618" s="120" t="s">
        <v>207</v>
      </c>
      <c r="W618" s="120">
        <v>466</v>
      </c>
      <c r="X618" s="120" t="s">
        <v>207</v>
      </c>
      <c r="Y618" s="120">
        <v>600</v>
      </c>
      <c r="Z618" s="120" t="s">
        <v>207</v>
      </c>
      <c r="AA618" s="120">
        <v>508</v>
      </c>
      <c r="AB618" s="120" t="s">
        <v>207</v>
      </c>
      <c r="AC618" s="120">
        <v>366</v>
      </c>
      <c r="AD618" s="120" t="s">
        <v>207</v>
      </c>
      <c r="AE618" s="120">
        <v>592</v>
      </c>
      <c r="AF618" s="120" t="s">
        <v>207</v>
      </c>
      <c r="AG618" s="120">
        <v>413</v>
      </c>
      <c r="AH618" s="120" t="s">
        <v>207</v>
      </c>
      <c r="AI618" s="120">
        <v>351</v>
      </c>
      <c r="AJ618" s="120" t="s">
        <v>207</v>
      </c>
      <c r="AK618" s="120">
        <v>841</v>
      </c>
      <c r="AL618" s="120" t="s">
        <v>207</v>
      </c>
      <c r="AM618" s="117">
        <f t="shared" si="17"/>
        <v>6616</v>
      </c>
    </row>
    <row r="619" spans="1:39" s="90" customFormat="1" ht="18" customHeight="1" x14ac:dyDescent="0.3">
      <c r="A619" s="114">
        <v>334</v>
      </c>
      <c r="B619" s="11" t="s">
        <v>1026</v>
      </c>
      <c r="C619" s="84" t="s">
        <v>268</v>
      </c>
      <c r="D619" s="88" t="s">
        <v>958</v>
      </c>
      <c r="E619" s="31" t="s">
        <v>48</v>
      </c>
      <c r="F619" s="85" t="s">
        <v>49</v>
      </c>
      <c r="G619" s="375"/>
      <c r="H619" s="365">
        <v>27</v>
      </c>
      <c r="I619" s="379"/>
      <c r="J619" s="365">
        <v>3</v>
      </c>
      <c r="K619" s="120"/>
      <c r="L619" s="120"/>
      <c r="M619" s="120"/>
      <c r="N619" s="120"/>
      <c r="O619" s="120"/>
      <c r="P619" s="120" t="s">
        <v>207</v>
      </c>
      <c r="Q619" s="120"/>
      <c r="R619" s="120" t="s">
        <v>207</v>
      </c>
      <c r="S619" s="120"/>
      <c r="T619" s="120" t="s">
        <v>207</v>
      </c>
      <c r="U619" s="120"/>
      <c r="V619" s="120" t="s">
        <v>207</v>
      </c>
      <c r="W619" s="120"/>
      <c r="X619" s="120" t="s">
        <v>207</v>
      </c>
      <c r="Y619" s="120"/>
      <c r="Z619" s="120" t="s">
        <v>207</v>
      </c>
      <c r="AA619" s="120"/>
      <c r="AB619" s="120" t="s">
        <v>207</v>
      </c>
      <c r="AC619" s="120"/>
      <c r="AD619" s="120" t="s">
        <v>207</v>
      </c>
      <c r="AE619" s="120"/>
      <c r="AF619" s="120" t="s">
        <v>207</v>
      </c>
      <c r="AG619" s="120"/>
      <c r="AH619" s="120" t="s">
        <v>207</v>
      </c>
      <c r="AI619" s="120"/>
      <c r="AJ619" s="120" t="s">
        <v>207</v>
      </c>
      <c r="AK619" s="120"/>
      <c r="AL619" s="120" t="s">
        <v>207</v>
      </c>
      <c r="AM619" s="117">
        <f t="shared" si="17"/>
        <v>0</v>
      </c>
    </row>
    <row r="620" spans="1:39" s="90" customFormat="1" ht="18" customHeight="1" x14ac:dyDescent="0.3">
      <c r="A620" s="297">
        <v>335</v>
      </c>
      <c r="B620" s="11" t="s">
        <v>1027</v>
      </c>
      <c r="C620" s="84" t="s">
        <v>268</v>
      </c>
      <c r="D620" s="88" t="s">
        <v>958</v>
      </c>
      <c r="E620" s="31" t="s">
        <v>48</v>
      </c>
      <c r="F620" s="85" t="s">
        <v>49</v>
      </c>
      <c r="G620" s="375"/>
      <c r="H620" s="365">
        <v>8</v>
      </c>
      <c r="I620" s="379"/>
      <c r="J620" s="365">
        <v>1</v>
      </c>
      <c r="K620" s="120"/>
      <c r="L620" s="120"/>
      <c r="M620" s="120"/>
      <c r="N620" s="120"/>
      <c r="O620" s="120"/>
      <c r="P620" s="120" t="s">
        <v>207</v>
      </c>
      <c r="Q620" s="120"/>
      <c r="R620" s="120" t="s">
        <v>207</v>
      </c>
      <c r="S620" s="120"/>
      <c r="T620" s="120" t="s">
        <v>207</v>
      </c>
      <c r="U620" s="120"/>
      <c r="V620" s="120" t="s">
        <v>207</v>
      </c>
      <c r="W620" s="120"/>
      <c r="X620" s="120" t="s">
        <v>207</v>
      </c>
      <c r="Y620" s="120"/>
      <c r="Z620" s="120" t="s">
        <v>207</v>
      </c>
      <c r="AA620" s="120"/>
      <c r="AB620" s="120" t="s">
        <v>207</v>
      </c>
      <c r="AC620" s="120"/>
      <c r="AD620" s="120" t="s">
        <v>207</v>
      </c>
      <c r="AE620" s="120"/>
      <c r="AF620" s="120" t="s">
        <v>207</v>
      </c>
      <c r="AG620" s="120"/>
      <c r="AH620" s="120" t="s">
        <v>207</v>
      </c>
      <c r="AI620" s="120"/>
      <c r="AJ620" s="120" t="s">
        <v>207</v>
      </c>
      <c r="AK620" s="120"/>
      <c r="AL620" s="120" t="s">
        <v>207</v>
      </c>
      <c r="AM620" s="117">
        <f t="shared" si="17"/>
        <v>0</v>
      </c>
    </row>
    <row r="621" spans="1:39" s="90" customFormat="1" ht="18" customHeight="1" x14ac:dyDescent="0.3">
      <c r="A621" s="114">
        <v>336</v>
      </c>
      <c r="B621" s="11" t="s">
        <v>1028</v>
      </c>
      <c r="C621" s="84" t="s">
        <v>268</v>
      </c>
      <c r="D621" s="88" t="s">
        <v>958</v>
      </c>
      <c r="E621" s="31" t="s">
        <v>48</v>
      </c>
      <c r="F621" s="85" t="s">
        <v>49</v>
      </c>
      <c r="G621" s="375"/>
      <c r="H621" s="365">
        <v>8</v>
      </c>
      <c r="I621" s="379"/>
      <c r="J621" s="365">
        <v>1</v>
      </c>
      <c r="K621" s="120"/>
      <c r="L621" s="120"/>
      <c r="M621" s="120"/>
      <c r="N621" s="120"/>
      <c r="O621" s="120"/>
      <c r="P621" s="120" t="s">
        <v>207</v>
      </c>
      <c r="Q621" s="120"/>
      <c r="R621" s="120" t="s">
        <v>207</v>
      </c>
      <c r="S621" s="120"/>
      <c r="T621" s="120" t="s">
        <v>207</v>
      </c>
      <c r="U621" s="120"/>
      <c r="V621" s="120" t="s">
        <v>207</v>
      </c>
      <c r="W621" s="120"/>
      <c r="X621" s="120" t="s">
        <v>207</v>
      </c>
      <c r="Y621" s="120"/>
      <c r="Z621" s="120" t="s">
        <v>207</v>
      </c>
      <c r="AA621" s="120"/>
      <c r="AB621" s="120" t="s">
        <v>207</v>
      </c>
      <c r="AC621" s="120"/>
      <c r="AD621" s="120" t="s">
        <v>207</v>
      </c>
      <c r="AE621" s="120"/>
      <c r="AF621" s="120" t="s">
        <v>207</v>
      </c>
      <c r="AG621" s="120"/>
      <c r="AH621" s="120" t="s">
        <v>207</v>
      </c>
      <c r="AI621" s="120"/>
      <c r="AJ621" s="120" t="s">
        <v>207</v>
      </c>
      <c r="AK621" s="120"/>
      <c r="AL621" s="120" t="s">
        <v>207</v>
      </c>
      <c r="AM621" s="117">
        <f t="shared" si="17"/>
        <v>0</v>
      </c>
    </row>
    <row r="622" spans="1:39" s="90" customFormat="1" ht="18" customHeight="1" x14ac:dyDescent="0.3">
      <c r="A622" s="114">
        <v>337</v>
      </c>
      <c r="B622" s="11" t="s">
        <v>1029</v>
      </c>
      <c r="C622" s="84" t="s">
        <v>268</v>
      </c>
      <c r="D622" s="88" t="s">
        <v>958</v>
      </c>
      <c r="E622" s="31" t="s">
        <v>48</v>
      </c>
      <c r="F622" s="85" t="s">
        <v>49</v>
      </c>
      <c r="G622" s="375"/>
      <c r="H622" s="365">
        <v>35</v>
      </c>
      <c r="I622" s="379"/>
      <c r="J622" s="365">
        <v>7</v>
      </c>
      <c r="K622" s="120"/>
      <c r="L622" s="120"/>
      <c r="M622" s="120">
        <v>807</v>
      </c>
      <c r="N622" s="120">
        <v>840</v>
      </c>
      <c r="O622" s="120">
        <v>181</v>
      </c>
      <c r="P622" s="120" t="s">
        <v>207</v>
      </c>
      <c r="Q622" s="120">
        <v>127</v>
      </c>
      <c r="R622" s="120" t="s">
        <v>207</v>
      </c>
      <c r="S622" s="120">
        <v>138</v>
      </c>
      <c r="T622" s="120" t="s">
        <v>207</v>
      </c>
      <c r="U622" s="120">
        <v>163</v>
      </c>
      <c r="V622" s="120" t="s">
        <v>207</v>
      </c>
      <c r="W622" s="120">
        <v>82</v>
      </c>
      <c r="X622" s="120" t="s">
        <v>207</v>
      </c>
      <c r="Y622" s="120">
        <v>69</v>
      </c>
      <c r="Z622" s="120" t="s">
        <v>207</v>
      </c>
      <c r="AA622" s="120">
        <v>51</v>
      </c>
      <c r="AB622" s="120" t="s">
        <v>207</v>
      </c>
      <c r="AC622" s="120">
        <v>21</v>
      </c>
      <c r="AD622" s="120" t="s">
        <v>207</v>
      </c>
      <c r="AE622" s="120">
        <v>46</v>
      </c>
      <c r="AF622" s="120" t="s">
        <v>207</v>
      </c>
      <c r="AG622" s="120">
        <v>68</v>
      </c>
      <c r="AH622" s="120" t="s">
        <v>207</v>
      </c>
      <c r="AI622" s="120">
        <v>67</v>
      </c>
      <c r="AJ622" s="120" t="s">
        <v>207</v>
      </c>
      <c r="AK622" s="120">
        <v>78</v>
      </c>
      <c r="AL622" s="120" t="s">
        <v>207</v>
      </c>
      <c r="AM622" s="117">
        <f t="shared" ref="AM622:AM685" si="18">SUM(O622,Q622,S622,U622,W622,Y622,AA622,AC622,AE622,AG622,AI622,AK622)</f>
        <v>1091</v>
      </c>
    </row>
    <row r="623" spans="1:39" s="90" customFormat="1" ht="18" customHeight="1" x14ac:dyDescent="0.3">
      <c r="A623" s="297">
        <v>338</v>
      </c>
      <c r="B623" s="11" t="s">
        <v>1030</v>
      </c>
      <c r="C623" s="84" t="s">
        <v>268</v>
      </c>
      <c r="D623" s="88" t="s">
        <v>958</v>
      </c>
      <c r="E623" s="31" t="s">
        <v>48</v>
      </c>
      <c r="F623" s="85" t="s">
        <v>49</v>
      </c>
      <c r="G623" s="375"/>
      <c r="H623" s="365">
        <v>26</v>
      </c>
      <c r="I623" s="379"/>
      <c r="J623" s="365">
        <v>2</v>
      </c>
      <c r="K623" s="120"/>
      <c r="L623" s="120"/>
      <c r="M623" s="120">
        <v>1567</v>
      </c>
      <c r="N623" s="120">
        <v>1513</v>
      </c>
      <c r="O623" s="120">
        <v>177</v>
      </c>
      <c r="P623" s="120" t="s">
        <v>207</v>
      </c>
      <c r="Q623" s="120">
        <v>205</v>
      </c>
      <c r="R623" s="120" t="s">
        <v>207</v>
      </c>
      <c r="S623" s="120">
        <v>97</v>
      </c>
      <c r="T623" s="120" t="s">
        <v>207</v>
      </c>
      <c r="U623" s="120">
        <v>83</v>
      </c>
      <c r="V623" s="120" t="s">
        <v>207</v>
      </c>
      <c r="W623" s="120">
        <v>106</v>
      </c>
      <c r="X623" s="120" t="s">
        <v>207</v>
      </c>
      <c r="Y623" s="120">
        <v>89</v>
      </c>
      <c r="Z623" s="120" t="s">
        <v>207</v>
      </c>
      <c r="AA623" s="120">
        <v>146</v>
      </c>
      <c r="AB623" s="120" t="s">
        <v>207</v>
      </c>
      <c r="AC623" s="120">
        <v>84</v>
      </c>
      <c r="AD623" s="120" t="s">
        <v>207</v>
      </c>
      <c r="AE623" s="120">
        <v>122</v>
      </c>
      <c r="AF623" s="120" t="s">
        <v>207</v>
      </c>
      <c r="AG623" s="120">
        <v>167</v>
      </c>
      <c r="AH623" s="120" t="s">
        <v>207</v>
      </c>
      <c r="AI623" s="120">
        <v>104</v>
      </c>
      <c r="AJ623" s="120" t="s">
        <v>207</v>
      </c>
      <c r="AK623" s="120">
        <v>183</v>
      </c>
      <c r="AL623" s="120" t="s">
        <v>207</v>
      </c>
      <c r="AM623" s="117">
        <f t="shared" si="18"/>
        <v>1563</v>
      </c>
    </row>
    <row r="624" spans="1:39" s="90" customFormat="1" ht="18" customHeight="1" x14ac:dyDescent="0.3">
      <c r="A624" s="114">
        <v>339</v>
      </c>
      <c r="B624" s="11" t="s">
        <v>1031</v>
      </c>
      <c r="C624" s="84" t="s">
        <v>268</v>
      </c>
      <c r="D624" s="88" t="s">
        <v>958</v>
      </c>
      <c r="E624" s="31" t="s">
        <v>48</v>
      </c>
      <c r="F624" s="85" t="s">
        <v>49</v>
      </c>
      <c r="G624" s="375"/>
      <c r="H624" s="365">
        <v>9</v>
      </c>
      <c r="I624" s="379"/>
      <c r="J624" s="365">
        <v>1</v>
      </c>
      <c r="K624" s="120"/>
      <c r="L624" s="120"/>
      <c r="M624" s="120"/>
      <c r="N624" s="120"/>
      <c r="O624" s="120"/>
      <c r="P624" s="120" t="s">
        <v>207</v>
      </c>
      <c r="Q624" s="120"/>
      <c r="R624" s="120" t="s">
        <v>207</v>
      </c>
      <c r="S624" s="120"/>
      <c r="T624" s="120" t="s">
        <v>207</v>
      </c>
      <c r="U624" s="120"/>
      <c r="V624" s="120" t="s">
        <v>207</v>
      </c>
      <c r="W624" s="120"/>
      <c r="X624" s="120" t="s">
        <v>207</v>
      </c>
      <c r="Y624" s="120"/>
      <c r="Z624" s="120" t="s">
        <v>207</v>
      </c>
      <c r="AA624" s="120"/>
      <c r="AB624" s="120" t="s">
        <v>207</v>
      </c>
      <c r="AC624" s="120"/>
      <c r="AD624" s="120" t="s">
        <v>207</v>
      </c>
      <c r="AE624" s="120"/>
      <c r="AF624" s="120" t="s">
        <v>207</v>
      </c>
      <c r="AG624" s="120"/>
      <c r="AH624" s="120" t="s">
        <v>207</v>
      </c>
      <c r="AI624" s="120"/>
      <c r="AJ624" s="120" t="s">
        <v>207</v>
      </c>
      <c r="AK624" s="120"/>
      <c r="AL624" s="120" t="s">
        <v>207</v>
      </c>
      <c r="AM624" s="117">
        <f t="shared" si="18"/>
        <v>0</v>
      </c>
    </row>
    <row r="625" spans="1:39" s="90" customFormat="1" ht="18" customHeight="1" x14ac:dyDescent="0.3">
      <c r="A625" s="114">
        <v>340</v>
      </c>
      <c r="B625" s="11" t="s">
        <v>1032</v>
      </c>
      <c r="C625" s="84" t="s">
        <v>268</v>
      </c>
      <c r="D625" s="88" t="s">
        <v>958</v>
      </c>
      <c r="E625" s="31" t="s">
        <v>48</v>
      </c>
      <c r="F625" s="85" t="s">
        <v>49</v>
      </c>
      <c r="G625" s="375"/>
      <c r="H625" s="365">
        <v>9</v>
      </c>
      <c r="I625" s="379"/>
      <c r="J625" s="365">
        <v>1</v>
      </c>
      <c r="K625" s="120"/>
      <c r="L625" s="120"/>
      <c r="M625" s="120"/>
      <c r="N625" s="120"/>
      <c r="O625" s="120"/>
      <c r="P625" s="120" t="s">
        <v>207</v>
      </c>
      <c r="Q625" s="120"/>
      <c r="R625" s="120" t="s">
        <v>207</v>
      </c>
      <c r="S625" s="120"/>
      <c r="T625" s="120" t="s">
        <v>207</v>
      </c>
      <c r="U625" s="120"/>
      <c r="V625" s="120" t="s">
        <v>207</v>
      </c>
      <c r="W625" s="120"/>
      <c r="X625" s="120" t="s">
        <v>207</v>
      </c>
      <c r="Y625" s="120"/>
      <c r="Z625" s="120" t="s">
        <v>207</v>
      </c>
      <c r="AA625" s="120"/>
      <c r="AB625" s="120" t="s">
        <v>207</v>
      </c>
      <c r="AC625" s="120"/>
      <c r="AD625" s="120" t="s">
        <v>207</v>
      </c>
      <c r="AE625" s="120"/>
      <c r="AF625" s="120" t="s">
        <v>207</v>
      </c>
      <c r="AG625" s="120"/>
      <c r="AH625" s="120" t="s">
        <v>207</v>
      </c>
      <c r="AI625" s="120"/>
      <c r="AJ625" s="120" t="s">
        <v>207</v>
      </c>
      <c r="AK625" s="120"/>
      <c r="AL625" s="120" t="s">
        <v>207</v>
      </c>
      <c r="AM625" s="117">
        <f t="shared" si="18"/>
        <v>0</v>
      </c>
    </row>
    <row r="626" spans="1:39" s="90" customFormat="1" ht="18" customHeight="1" x14ac:dyDescent="0.3">
      <c r="A626" s="297">
        <v>341</v>
      </c>
      <c r="B626" s="11" t="s">
        <v>1033</v>
      </c>
      <c r="C626" s="84" t="s">
        <v>268</v>
      </c>
      <c r="D626" s="88" t="s">
        <v>958</v>
      </c>
      <c r="E626" s="31" t="s">
        <v>48</v>
      </c>
      <c r="F626" s="85" t="s">
        <v>49</v>
      </c>
      <c r="G626" s="375"/>
      <c r="H626" s="365">
        <v>15</v>
      </c>
      <c r="I626" s="379"/>
      <c r="J626" s="365">
        <v>4</v>
      </c>
      <c r="K626" s="120"/>
      <c r="L626" s="120"/>
      <c r="M626" s="120">
        <v>3153</v>
      </c>
      <c r="N626" s="120">
        <v>6221</v>
      </c>
      <c r="O626" s="120"/>
      <c r="P626" s="120" t="s">
        <v>207</v>
      </c>
      <c r="Q626" s="120"/>
      <c r="R626" s="120" t="s">
        <v>207</v>
      </c>
      <c r="S626" s="120"/>
      <c r="T626" s="120" t="s">
        <v>207</v>
      </c>
      <c r="U626" s="120"/>
      <c r="V626" s="120" t="s">
        <v>207</v>
      </c>
      <c r="W626" s="120"/>
      <c r="X626" s="120" t="s">
        <v>207</v>
      </c>
      <c r="Y626" s="120"/>
      <c r="Z626" s="120" t="s">
        <v>207</v>
      </c>
      <c r="AA626" s="120"/>
      <c r="AB626" s="120" t="s">
        <v>207</v>
      </c>
      <c r="AC626" s="120"/>
      <c r="AD626" s="120" t="s">
        <v>207</v>
      </c>
      <c r="AE626" s="120"/>
      <c r="AF626" s="120" t="s">
        <v>207</v>
      </c>
      <c r="AG626" s="120"/>
      <c r="AH626" s="120" t="s">
        <v>207</v>
      </c>
      <c r="AI626" s="120"/>
      <c r="AJ626" s="120" t="s">
        <v>207</v>
      </c>
      <c r="AK626" s="120"/>
      <c r="AL626" s="120" t="s">
        <v>207</v>
      </c>
      <c r="AM626" s="117">
        <f t="shared" si="18"/>
        <v>0</v>
      </c>
    </row>
    <row r="627" spans="1:39" s="90" customFormat="1" ht="18" customHeight="1" x14ac:dyDescent="0.3">
      <c r="A627" s="114">
        <v>342</v>
      </c>
      <c r="B627" s="11" t="s">
        <v>1034</v>
      </c>
      <c r="C627" s="84" t="s">
        <v>268</v>
      </c>
      <c r="D627" s="88" t="s">
        <v>958</v>
      </c>
      <c r="E627" s="31" t="s">
        <v>48</v>
      </c>
      <c r="F627" s="85" t="s">
        <v>49</v>
      </c>
      <c r="G627" s="375"/>
      <c r="H627" s="365">
        <v>25</v>
      </c>
      <c r="I627" s="379"/>
      <c r="J627" s="365">
        <v>6</v>
      </c>
      <c r="K627" s="120"/>
      <c r="L627" s="120"/>
      <c r="M627" s="120">
        <v>1852</v>
      </c>
      <c r="N627" s="120">
        <v>3073</v>
      </c>
      <c r="O627" s="120">
        <v>371</v>
      </c>
      <c r="P627" s="120" t="s">
        <v>207</v>
      </c>
      <c r="Q627" s="120">
        <v>169</v>
      </c>
      <c r="R627" s="120" t="s">
        <v>207</v>
      </c>
      <c r="S627" s="120">
        <v>329</v>
      </c>
      <c r="T627" s="120" t="s">
        <v>207</v>
      </c>
      <c r="U627" s="120">
        <v>207</v>
      </c>
      <c r="V627" s="120" t="s">
        <v>207</v>
      </c>
      <c r="W627" s="120">
        <v>227</v>
      </c>
      <c r="X627" s="120" t="s">
        <v>207</v>
      </c>
      <c r="Y627" s="120">
        <v>165</v>
      </c>
      <c r="Z627" s="120" t="s">
        <v>207</v>
      </c>
      <c r="AA627" s="120">
        <v>132</v>
      </c>
      <c r="AB627" s="120" t="s">
        <v>207</v>
      </c>
      <c r="AC627" s="120">
        <v>87</v>
      </c>
      <c r="AD627" s="120" t="s">
        <v>207</v>
      </c>
      <c r="AE627" s="120">
        <v>117</v>
      </c>
      <c r="AF627" s="120" t="s">
        <v>207</v>
      </c>
      <c r="AG627" s="120">
        <v>310</v>
      </c>
      <c r="AH627" s="120" t="s">
        <v>207</v>
      </c>
      <c r="AI627" s="120">
        <v>156</v>
      </c>
      <c r="AJ627" s="120" t="s">
        <v>207</v>
      </c>
      <c r="AK627" s="120">
        <v>227</v>
      </c>
      <c r="AL627" s="120" t="s">
        <v>207</v>
      </c>
      <c r="AM627" s="117">
        <f t="shared" si="18"/>
        <v>2497</v>
      </c>
    </row>
    <row r="628" spans="1:39" s="90" customFormat="1" ht="18" customHeight="1" x14ac:dyDescent="0.3">
      <c r="A628" s="114">
        <v>343</v>
      </c>
      <c r="B628" s="11" t="s">
        <v>1035</v>
      </c>
      <c r="C628" s="84" t="s">
        <v>268</v>
      </c>
      <c r="D628" s="88" t="s">
        <v>958</v>
      </c>
      <c r="E628" s="31" t="s">
        <v>48</v>
      </c>
      <c r="F628" s="85" t="s">
        <v>49</v>
      </c>
      <c r="G628" s="375"/>
      <c r="H628" s="365">
        <v>12</v>
      </c>
      <c r="I628" s="379"/>
      <c r="J628" s="365">
        <v>1</v>
      </c>
      <c r="K628" s="120"/>
      <c r="L628" s="120"/>
      <c r="M628" s="120"/>
      <c r="N628" s="120"/>
      <c r="O628" s="120"/>
      <c r="P628" s="120" t="s">
        <v>207</v>
      </c>
      <c r="Q628" s="120"/>
      <c r="R628" s="120" t="s">
        <v>207</v>
      </c>
      <c r="S628" s="120"/>
      <c r="T628" s="120" t="s">
        <v>207</v>
      </c>
      <c r="U628" s="120"/>
      <c r="V628" s="120" t="s">
        <v>207</v>
      </c>
      <c r="W628" s="120"/>
      <c r="X628" s="120" t="s">
        <v>207</v>
      </c>
      <c r="Y628" s="120"/>
      <c r="Z628" s="120" t="s">
        <v>207</v>
      </c>
      <c r="AA628" s="120"/>
      <c r="AB628" s="120" t="s">
        <v>207</v>
      </c>
      <c r="AC628" s="120"/>
      <c r="AD628" s="120" t="s">
        <v>207</v>
      </c>
      <c r="AE628" s="120"/>
      <c r="AF628" s="120" t="s">
        <v>207</v>
      </c>
      <c r="AG628" s="120"/>
      <c r="AH628" s="120" t="s">
        <v>207</v>
      </c>
      <c r="AI628" s="120"/>
      <c r="AJ628" s="120" t="s">
        <v>207</v>
      </c>
      <c r="AK628" s="120"/>
      <c r="AL628" s="120" t="s">
        <v>207</v>
      </c>
      <c r="AM628" s="117">
        <f t="shared" si="18"/>
        <v>0</v>
      </c>
    </row>
    <row r="629" spans="1:39" s="90" customFormat="1" ht="18" customHeight="1" x14ac:dyDescent="0.3">
      <c r="A629" s="297">
        <v>344</v>
      </c>
      <c r="B629" s="11" t="s">
        <v>1036</v>
      </c>
      <c r="C629" s="84" t="s">
        <v>268</v>
      </c>
      <c r="D629" s="88" t="s">
        <v>958</v>
      </c>
      <c r="E629" s="31" t="s">
        <v>48</v>
      </c>
      <c r="F629" s="85" t="s">
        <v>49</v>
      </c>
      <c r="G629" s="375"/>
      <c r="H629" s="365">
        <v>48</v>
      </c>
      <c r="I629" s="379"/>
      <c r="J629" s="365">
        <v>6</v>
      </c>
      <c r="K629" s="120"/>
      <c r="L629" s="120"/>
      <c r="M629" s="120"/>
      <c r="N629" s="120"/>
      <c r="O629" s="120"/>
      <c r="P629" s="120" t="s">
        <v>207</v>
      </c>
      <c r="Q629" s="120"/>
      <c r="R629" s="120" t="s">
        <v>207</v>
      </c>
      <c r="S629" s="120"/>
      <c r="T629" s="120" t="s">
        <v>207</v>
      </c>
      <c r="U629" s="120"/>
      <c r="V629" s="120" t="s">
        <v>207</v>
      </c>
      <c r="W629" s="120"/>
      <c r="X629" s="120" t="s">
        <v>207</v>
      </c>
      <c r="Y629" s="120"/>
      <c r="Z629" s="120" t="s">
        <v>207</v>
      </c>
      <c r="AA629" s="120"/>
      <c r="AB629" s="120" t="s">
        <v>207</v>
      </c>
      <c r="AC629" s="120"/>
      <c r="AD629" s="120" t="s">
        <v>207</v>
      </c>
      <c r="AE629" s="120"/>
      <c r="AF629" s="120" t="s">
        <v>207</v>
      </c>
      <c r="AG629" s="120"/>
      <c r="AH629" s="120" t="s">
        <v>207</v>
      </c>
      <c r="AI629" s="120"/>
      <c r="AJ629" s="120" t="s">
        <v>207</v>
      </c>
      <c r="AK629" s="120"/>
      <c r="AL629" s="120" t="s">
        <v>207</v>
      </c>
      <c r="AM629" s="117">
        <f t="shared" si="18"/>
        <v>0</v>
      </c>
    </row>
    <row r="630" spans="1:39" s="90" customFormat="1" ht="18" customHeight="1" x14ac:dyDescent="0.3">
      <c r="A630" s="114">
        <v>345</v>
      </c>
      <c r="B630" s="11" t="s">
        <v>1037</v>
      </c>
      <c r="C630" s="84" t="s">
        <v>268</v>
      </c>
      <c r="D630" s="88" t="s">
        <v>958</v>
      </c>
      <c r="E630" s="31" t="s">
        <v>48</v>
      </c>
      <c r="F630" s="85" t="s">
        <v>49</v>
      </c>
      <c r="G630" s="375"/>
      <c r="H630" s="365">
        <v>23</v>
      </c>
      <c r="I630" s="379"/>
      <c r="J630" s="365">
        <v>6</v>
      </c>
      <c r="K630" s="120"/>
      <c r="L630" s="120"/>
      <c r="M630" s="120">
        <v>2365</v>
      </c>
      <c r="N630" s="120">
        <v>2782</v>
      </c>
      <c r="O630" s="120">
        <v>553</v>
      </c>
      <c r="P630" s="120" t="s">
        <v>207</v>
      </c>
      <c r="Q630" s="120">
        <v>212</v>
      </c>
      <c r="R630" s="120" t="s">
        <v>207</v>
      </c>
      <c r="S630" s="120">
        <v>336</v>
      </c>
      <c r="T630" s="120" t="s">
        <v>207</v>
      </c>
      <c r="U630" s="120">
        <v>312</v>
      </c>
      <c r="V630" s="120" t="s">
        <v>207</v>
      </c>
      <c r="W630" s="120">
        <v>292</v>
      </c>
      <c r="X630" s="120" t="s">
        <v>207</v>
      </c>
      <c r="Y630" s="120">
        <v>288</v>
      </c>
      <c r="Z630" s="120" t="s">
        <v>207</v>
      </c>
      <c r="AA630" s="120">
        <v>234</v>
      </c>
      <c r="AB630" s="120" t="s">
        <v>207</v>
      </c>
      <c r="AC630" s="120">
        <v>130</v>
      </c>
      <c r="AD630" s="120" t="s">
        <v>207</v>
      </c>
      <c r="AE630" s="120">
        <v>219</v>
      </c>
      <c r="AF630" s="120" t="s">
        <v>207</v>
      </c>
      <c r="AG630" s="120">
        <v>355</v>
      </c>
      <c r="AH630" s="120" t="s">
        <v>207</v>
      </c>
      <c r="AI630" s="120">
        <v>541</v>
      </c>
      <c r="AJ630" s="120" t="s">
        <v>207</v>
      </c>
      <c r="AK630" s="120">
        <v>543</v>
      </c>
      <c r="AL630" s="120" t="s">
        <v>207</v>
      </c>
      <c r="AM630" s="117">
        <f t="shared" si="18"/>
        <v>4015</v>
      </c>
    </row>
    <row r="631" spans="1:39" s="90" customFormat="1" ht="18" customHeight="1" x14ac:dyDescent="0.3">
      <c r="A631" s="114">
        <v>346</v>
      </c>
      <c r="B631" s="11" t="s">
        <v>1038</v>
      </c>
      <c r="C631" s="84" t="s">
        <v>268</v>
      </c>
      <c r="D631" s="88" t="s">
        <v>958</v>
      </c>
      <c r="E631" s="31" t="s">
        <v>48</v>
      </c>
      <c r="F631" s="85" t="s">
        <v>49</v>
      </c>
      <c r="G631" s="375"/>
      <c r="H631" s="365">
        <v>56</v>
      </c>
      <c r="I631" s="379"/>
      <c r="J631" s="365">
        <v>2</v>
      </c>
      <c r="K631" s="120"/>
      <c r="L631" s="120"/>
      <c r="M631" s="120">
        <v>3921</v>
      </c>
      <c r="N631" s="120">
        <v>2345</v>
      </c>
      <c r="O631" s="120">
        <v>503</v>
      </c>
      <c r="P631" s="120" t="s">
        <v>207</v>
      </c>
      <c r="Q631" s="120">
        <v>321</v>
      </c>
      <c r="R631" s="120" t="s">
        <v>207</v>
      </c>
      <c r="S631" s="120">
        <v>378</v>
      </c>
      <c r="T631" s="120" t="s">
        <v>207</v>
      </c>
      <c r="U631" s="120">
        <v>408</v>
      </c>
      <c r="V631" s="120" t="s">
        <v>207</v>
      </c>
      <c r="W631" s="120">
        <v>395</v>
      </c>
      <c r="X631" s="120" t="s">
        <v>207</v>
      </c>
      <c r="Y631" s="120">
        <v>267</v>
      </c>
      <c r="Z631" s="120" t="s">
        <v>207</v>
      </c>
      <c r="AA631" s="120">
        <v>197</v>
      </c>
      <c r="AB631" s="120" t="s">
        <v>207</v>
      </c>
      <c r="AC631" s="120">
        <v>136</v>
      </c>
      <c r="AD631" s="120" t="s">
        <v>207</v>
      </c>
      <c r="AE631" s="120">
        <v>297</v>
      </c>
      <c r="AF631" s="120" t="s">
        <v>207</v>
      </c>
      <c r="AG631" s="120">
        <v>362</v>
      </c>
      <c r="AH631" s="120" t="s">
        <v>207</v>
      </c>
      <c r="AI631" s="120">
        <v>312</v>
      </c>
      <c r="AJ631" s="120" t="s">
        <v>207</v>
      </c>
      <c r="AK631" s="120">
        <v>571</v>
      </c>
      <c r="AL631" s="120" t="s">
        <v>207</v>
      </c>
      <c r="AM631" s="117">
        <f t="shared" si="18"/>
        <v>4147</v>
      </c>
    </row>
    <row r="632" spans="1:39" s="90" customFormat="1" ht="18" customHeight="1" x14ac:dyDescent="0.3">
      <c r="A632" s="297">
        <v>347</v>
      </c>
      <c r="B632" s="11" t="s">
        <v>1039</v>
      </c>
      <c r="C632" s="84" t="s">
        <v>268</v>
      </c>
      <c r="D632" s="88" t="s">
        <v>958</v>
      </c>
      <c r="E632" s="31" t="s">
        <v>48</v>
      </c>
      <c r="F632" s="85" t="s">
        <v>49</v>
      </c>
      <c r="G632" s="375"/>
      <c r="H632" s="365">
        <v>12</v>
      </c>
      <c r="I632" s="379"/>
      <c r="J632" s="365">
        <v>2</v>
      </c>
      <c r="K632" s="120"/>
      <c r="L632" s="120"/>
      <c r="M632" s="120">
        <v>7779</v>
      </c>
      <c r="N632" s="120">
        <v>3351</v>
      </c>
      <c r="O632" s="120">
        <v>213</v>
      </c>
      <c r="P632" s="120" t="s">
        <v>207</v>
      </c>
      <c r="Q632" s="120">
        <v>168</v>
      </c>
      <c r="R632" s="120" t="s">
        <v>207</v>
      </c>
      <c r="S632" s="120">
        <v>161</v>
      </c>
      <c r="T632" s="120" t="s">
        <v>207</v>
      </c>
      <c r="U632" s="120">
        <v>117</v>
      </c>
      <c r="V632" s="120" t="s">
        <v>207</v>
      </c>
      <c r="W632" s="120">
        <v>185</v>
      </c>
      <c r="X632" s="120" t="s">
        <v>207</v>
      </c>
      <c r="Y632" s="120">
        <v>159</v>
      </c>
      <c r="Z632" s="120" t="s">
        <v>207</v>
      </c>
      <c r="AA632" s="120">
        <v>91</v>
      </c>
      <c r="AB632" s="120" t="s">
        <v>207</v>
      </c>
      <c r="AC632" s="120">
        <v>110</v>
      </c>
      <c r="AD632" s="120" t="s">
        <v>207</v>
      </c>
      <c r="AE632" s="120">
        <v>129</v>
      </c>
      <c r="AF632" s="120" t="s">
        <v>207</v>
      </c>
      <c r="AG632" s="120">
        <v>110</v>
      </c>
      <c r="AH632" s="120" t="s">
        <v>207</v>
      </c>
      <c r="AI632" s="120">
        <v>215</v>
      </c>
      <c r="AJ632" s="120" t="s">
        <v>207</v>
      </c>
      <c r="AK632" s="120">
        <v>297</v>
      </c>
      <c r="AL632" s="120" t="s">
        <v>207</v>
      </c>
      <c r="AM632" s="117">
        <f t="shared" si="18"/>
        <v>1955</v>
      </c>
    </row>
    <row r="633" spans="1:39" s="90" customFormat="1" ht="18" customHeight="1" x14ac:dyDescent="0.3">
      <c r="A633" s="114">
        <v>348</v>
      </c>
      <c r="B633" s="11" t="s">
        <v>1040</v>
      </c>
      <c r="C633" s="84" t="s">
        <v>268</v>
      </c>
      <c r="D633" s="88" t="s">
        <v>958</v>
      </c>
      <c r="E633" s="31" t="s">
        <v>48</v>
      </c>
      <c r="F633" s="85" t="s">
        <v>49</v>
      </c>
      <c r="G633" s="375"/>
      <c r="H633" s="365">
        <v>35</v>
      </c>
      <c r="I633" s="379"/>
      <c r="J633" s="365">
        <v>5</v>
      </c>
      <c r="K633" s="120"/>
      <c r="L633" s="120"/>
      <c r="M633" s="120">
        <v>2306</v>
      </c>
      <c r="N633" s="120">
        <v>1609</v>
      </c>
      <c r="O633" s="120">
        <v>2232</v>
      </c>
      <c r="P633" s="120" t="s">
        <v>207</v>
      </c>
      <c r="Q633" s="120">
        <v>1008</v>
      </c>
      <c r="R633" s="120" t="s">
        <v>207</v>
      </c>
      <c r="S633" s="120">
        <v>1261</v>
      </c>
      <c r="T633" s="120" t="s">
        <v>207</v>
      </c>
      <c r="U633" s="120">
        <v>-966</v>
      </c>
      <c r="V633" s="120" t="s">
        <v>207</v>
      </c>
      <c r="W633" s="120">
        <v>-905</v>
      </c>
      <c r="X633" s="120" t="s">
        <v>207</v>
      </c>
      <c r="Y633" s="120">
        <v>138</v>
      </c>
      <c r="Z633" s="120" t="s">
        <v>207</v>
      </c>
      <c r="AA633" s="120">
        <v>108</v>
      </c>
      <c r="AB633" s="120" t="s">
        <v>207</v>
      </c>
      <c r="AC633" s="120">
        <v>148</v>
      </c>
      <c r="AD633" s="120" t="s">
        <v>207</v>
      </c>
      <c r="AE633" s="120">
        <v>186</v>
      </c>
      <c r="AF633" s="120" t="s">
        <v>207</v>
      </c>
      <c r="AG633" s="120">
        <v>104</v>
      </c>
      <c r="AH633" s="120" t="s">
        <v>207</v>
      </c>
      <c r="AI633" s="120">
        <v>982</v>
      </c>
      <c r="AJ633" s="120" t="s">
        <v>207</v>
      </c>
      <c r="AK633" s="120">
        <v>474</v>
      </c>
      <c r="AL633" s="120" t="s">
        <v>207</v>
      </c>
      <c r="AM633" s="117">
        <f t="shared" si="18"/>
        <v>4770</v>
      </c>
    </row>
    <row r="634" spans="1:39" s="90" customFormat="1" ht="18" customHeight="1" x14ac:dyDescent="0.3">
      <c r="A634" s="114">
        <v>349</v>
      </c>
      <c r="B634" s="11" t="s">
        <v>1041</v>
      </c>
      <c r="C634" s="84" t="s">
        <v>268</v>
      </c>
      <c r="D634" s="88" t="s">
        <v>958</v>
      </c>
      <c r="E634" s="31" t="s">
        <v>48</v>
      </c>
      <c r="F634" s="85" t="s">
        <v>49</v>
      </c>
      <c r="G634" s="375"/>
      <c r="H634" s="365">
        <v>24</v>
      </c>
      <c r="I634" s="379"/>
      <c r="J634" s="365">
        <v>4</v>
      </c>
      <c r="K634" s="120"/>
      <c r="L634" s="120"/>
      <c r="M634" s="120">
        <v>13704</v>
      </c>
      <c r="N634" s="120">
        <v>3391</v>
      </c>
      <c r="O634" s="120">
        <v>295</v>
      </c>
      <c r="P634" s="120" t="s">
        <v>207</v>
      </c>
      <c r="Q634" s="120">
        <v>237</v>
      </c>
      <c r="R634" s="120" t="s">
        <v>207</v>
      </c>
      <c r="S634" s="120">
        <v>283</v>
      </c>
      <c r="T634" s="120" t="s">
        <v>207</v>
      </c>
      <c r="U634" s="120">
        <v>157</v>
      </c>
      <c r="V634" s="120" t="s">
        <v>207</v>
      </c>
      <c r="W634" s="120">
        <v>137</v>
      </c>
      <c r="X634" s="120" t="s">
        <v>207</v>
      </c>
      <c r="Y634" s="120">
        <v>132</v>
      </c>
      <c r="Z634" s="120" t="s">
        <v>207</v>
      </c>
      <c r="AA634" s="120">
        <v>168</v>
      </c>
      <c r="AB634" s="120" t="s">
        <v>207</v>
      </c>
      <c r="AC634" s="120">
        <v>134</v>
      </c>
      <c r="AD634" s="120" t="s">
        <v>207</v>
      </c>
      <c r="AE634" s="120">
        <v>169</v>
      </c>
      <c r="AF634" s="120" t="s">
        <v>207</v>
      </c>
      <c r="AG634" s="120">
        <v>157</v>
      </c>
      <c r="AH634" s="120" t="s">
        <v>207</v>
      </c>
      <c r="AI634" s="120">
        <v>183</v>
      </c>
      <c r="AJ634" s="120" t="s">
        <v>207</v>
      </c>
      <c r="AK634" s="120">
        <v>178</v>
      </c>
      <c r="AL634" s="120" t="s">
        <v>207</v>
      </c>
      <c r="AM634" s="117">
        <f t="shared" si="18"/>
        <v>2230</v>
      </c>
    </row>
    <row r="635" spans="1:39" s="90" customFormat="1" ht="18" customHeight="1" x14ac:dyDescent="0.3">
      <c r="A635" s="297">
        <v>350</v>
      </c>
      <c r="B635" s="11" t="s">
        <v>1042</v>
      </c>
      <c r="C635" s="84" t="s">
        <v>268</v>
      </c>
      <c r="D635" s="88" t="s">
        <v>958</v>
      </c>
      <c r="E635" s="31" t="s">
        <v>48</v>
      </c>
      <c r="F635" s="85" t="s">
        <v>49</v>
      </c>
      <c r="G635" s="375"/>
      <c r="H635" s="365">
        <v>25</v>
      </c>
      <c r="I635" s="379"/>
      <c r="J635" s="365">
        <v>4</v>
      </c>
      <c r="K635" s="120"/>
      <c r="L635" s="120"/>
      <c r="M635" s="120"/>
      <c r="N635" s="120"/>
      <c r="O635" s="120"/>
      <c r="P635" s="120" t="s">
        <v>207</v>
      </c>
      <c r="Q635" s="120"/>
      <c r="R635" s="120" t="s">
        <v>207</v>
      </c>
      <c r="S635" s="120"/>
      <c r="T635" s="120" t="s">
        <v>207</v>
      </c>
      <c r="U635" s="120"/>
      <c r="V635" s="120" t="s">
        <v>207</v>
      </c>
      <c r="W635" s="120"/>
      <c r="X635" s="120" t="s">
        <v>207</v>
      </c>
      <c r="Y635" s="120"/>
      <c r="Z635" s="120" t="s">
        <v>207</v>
      </c>
      <c r="AA635" s="120"/>
      <c r="AB635" s="120" t="s">
        <v>207</v>
      </c>
      <c r="AC635" s="120"/>
      <c r="AD635" s="120" t="s">
        <v>207</v>
      </c>
      <c r="AE635" s="120"/>
      <c r="AF635" s="120" t="s">
        <v>207</v>
      </c>
      <c r="AG635" s="120"/>
      <c r="AH635" s="120" t="s">
        <v>207</v>
      </c>
      <c r="AI635" s="120"/>
      <c r="AJ635" s="120" t="s">
        <v>207</v>
      </c>
      <c r="AK635" s="120"/>
      <c r="AL635" s="120" t="s">
        <v>207</v>
      </c>
      <c r="AM635" s="117">
        <f t="shared" si="18"/>
        <v>0</v>
      </c>
    </row>
    <row r="636" spans="1:39" s="90" customFormat="1" ht="18" customHeight="1" x14ac:dyDescent="0.3">
      <c r="A636" s="114">
        <v>351</v>
      </c>
      <c r="B636" s="11" t="s">
        <v>1043</v>
      </c>
      <c r="C636" s="84" t="s">
        <v>268</v>
      </c>
      <c r="D636" s="88" t="s">
        <v>958</v>
      </c>
      <c r="E636" s="31" t="s">
        <v>48</v>
      </c>
      <c r="F636" s="85" t="s">
        <v>49</v>
      </c>
      <c r="G636" s="375"/>
      <c r="H636" s="365">
        <v>32</v>
      </c>
      <c r="I636" s="379"/>
      <c r="J636" s="365">
        <v>6</v>
      </c>
      <c r="K636" s="120"/>
      <c r="L636" s="120"/>
      <c r="M636" s="120"/>
      <c r="N636" s="120"/>
      <c r="O636" s="120"/>
      <c r="P636" s="120" t="s">
        <v>207</v>
      </c>
      <c r="Q636" s="120"/>
      <c r="R636" s="120" t="s">
        <v>207</v>
      </c>
      <c r="S636" s="120"/>
      <c r="T636" s="120" t="s">
        <v>207</v>
      </c>
      <c r="U636" s="120"/>
      <c r="V636" s="120" t="s">
        <v>207</v>
      </c>
      <c r="W636" s="120"/>
      <c r="X636" s="120" t="s">
        <v>207</v>
      </c>
      <c r="Y636" s="120"/>
      <c r="Z636" s="120" t="s">
        <v>207</v>
      </c>
      <c r="AA636" s="120"/>
      <c r="AB636" s="120" t="s">
        <v>207</v>
      </c>
      <c r="AC636" s="120"/>
      <c r="AD636" s="120" t="s">
        <v>207</v>
      </c>
      <c r="AE636" s="120"/>
      <c r="AF636" s="120" t="s">
        <v>207</v>
      </c>
      <c r="AG636" s="120"/>
      <c r="AH636" s="120" t="s">
        <v>207</v>
      </c>
      <c r="AI636" s="120"/>
      <c r="AJ636" s="120" t="s">
        <v>207</v>
      </c>
      <c r="AK636" s="120"/>
      <c r="AL636" s="120" t="s">
        <v>207</v>
      </c>
      <c r="AM636" s="117">
        <f t="shared" si="18"/>
        <v>0</v>
      </c>
    </row>
    <row r="637" spans="1:39" s="90" customFormat="1" ht="18" customHeight="1" x14ac:dyDescent="0.3">
      <c r="A637" s="114">
        <v>352</v>
      </c>
      <c r="B637" s="11" t="s">
        <v>1044</v>
      </c>
      <c r="C637" s="84" t="s">
        <v>268</v>
      </c>
      <c r="D637" s="88" t="s">
        <v>958</v>
      </c>
      <c r="E637" s="31" t="s">
        <v>48</v>
      </c>
      <c r="F637" s="85" t="s">
        <v>49</v>
      </c>
      <c r="G637" s="375"/>
      <c r="H637" s="365">
        <v>20</v>
      </c>
      <c r="I637" s="379"/>
      <c r="J637" s="365">
        <v>5</v>
      </c>
      <c r="K637" s="120"/>
      <c r="L637" s="120"/>
      <c r="M637" s="120">
        <v>4337</v>
      </c>
      <c r="N637" s="120">
        <v>4116</v>
      </c>
      <c r="O637" s="120">
        <v>326</v>
      </c>
      <c r="P637" s="120" t="s">
        <v>207</v>
      </c>
      <c r="Q637" s="120">
        <v>545</v>
      </c>
      <c r="R637" s="120" t="s">
        <v>207</v>
      </c>
      <c r="S637" s="120">
        <v>498</v>
      </c>
      <c r="T637" s="120" t="s">
        <v>207</v>
      </c>
      <c r="U637" s="120">
        <v>491</v>
      </c>
      <c r="V637" s="120" t="s">
        <v>207</v>
      </c>
      <c r="W637" s="120">
        <v>432</v>
      </c>
      <c r="X637" s="120" t="s">
        <v>207</v>
      </c>
      <c r="Y637" s="120">
        <v>373</v>
      </c>
      <c r="Z637" s="120" t="s">
        <v>207</v>
      </c>
      <c r="AA637" s="120">
        <v>570</v>
      </c>
      <c r="AB637" s="120" t="s">
        <v>207</v>
      </c>
      <c r="AC637" s="120">
        <v>194</v>
      </c>
      <c r="AD637" s="120" t="s">
        <v>207</v>
      </c>
      <c r="AE637" s="120">
        <v>309</v>
      </c>
      <c r="AF637" s="120" t="s">
        <v>207</v>
      </c>
      <c r="AG637" s="120">
        <v>441</v>
      </c>
      <c r="AH637" s="120" t="s">
        <v>207</v>
      </c>
      <c r="AI637" s="120">
        <v>347</v>
      </c>
      <c r="AJ637" s="120" t="s">
        <v>207</v>
      </c>
      <c r="AK637" s="120">
        <v>452</v>
      </c>
      <c r="AL637" s="120" t="s">
        <v>207</v>
      </c>
      <c r="AM637" s="117">
        <f t="shared" si="18"/>
        <v>4978</v>
      </c>
    </row>
    <row r="638" spans="1:39" s="90" customFormat="1" ht="18" customHeight="1" x14ac:dyDescent="0.3">
      <c r="A638" s="297">
        <v>353</v>
      </c>
      <c r="B638" s="11" t="s">
        <v>1045</v>
      </c>
      <c r="C638" s="84" t="s">
        <v>268</v>
      </c>
      <c r="D638" s="88" t="s">
        <v>958</v>
      </c>
      <c r="E638" s="31" t="s">
        <v>48</v>
      </c>
      <c r="F638" s="85" t="s">
        <v>49</v>
      </c>
      <c r="G638" s="375"/>
      <c r="H638" s="365">
        <v>192</v>
      </c>
      <c r="I638" s="379"/>
      <c r="J638" s="365">
        <v>16</v>
      </c>
      <c r="K638" s="120"/>
      <c r="L638" s="120"/>
      <c r="M638" s="120">
        <v>81115</v>
      </c>
      <c r="N638" s="120">
        <v>22652</v>
      </c>
      <c r="O638" s="120">
        <v>2950</v>
      </c>
      <c r="P638" s="120" t="s">
        <v>207</v>
      </c>
      <c r="Q638" s="120">
        <v>3250</v>
      </c>
      <c r="R638" s="120" t="s">
        <v>207</v>
      </c>
      <c r="S638" s="120">
        <v>2620</v>
      </c>
      <c r="T638" s="120" t="s">
        <v>207</v>
      </c>
      <c r="U638" s="120">
        <v>2178</v>
      </c>
      <c r="V638" s="120" t="s">
        <v>207</v>
      </c>
      <c r="W638" s="120">
        <v>1424</v>
      </c>
      <c r="X638" s="120" t="s">
        <v>207</v>
      </c>
      <c r="Y638" s="120">
        <v>1831</v>
      </c>
      <c r="Z638" s="120" t="s">
        <v>207</v>
      </c>
      <c r="AA638" s="120">
        <v>3294</v>
      </c>
      <c r="AB638" s="120" t="s">
        <v>207</v>
      </c>
      <c r="AC638" s="120">
        <v>1341</v>
      </c>
      <c r="AD638" s="120" t="s">
        <v>207</v>
      </c>
      <c r="AE638" s="120">
        <v>2873</v>
      </c>
      <c r="AF638" s="120" t="s">
        <v>207</v>
      </c>
      <c r="AG638" s="120">
        <v>3204</v>
      </c>
      <c r="AH638" s="120" t="s">
        <v>207</v>
      </c>
      <c r="AI638" s="120">
        <v>2635</v>
      </c>
      <c r="AJ638" s="120" t="s">
        <v>207</v>
      </c>
      <c r="AK638" s="120">
        <v>4124</v>
      </c>
      <c r="AL638" s="120" t="s">
        <v>207</v>
      </c>
      <c r="AM638" s="117">
        <f t="shared" si="18"/>
        <v>31724</v>
      </c>
    </row>
    <row r="639" spans="1:39" s="90" customFormat="1" ht="18" customHeight="1" x14ac:dyDescent="0.3">
      <c r="A639" s="114">
        <v>354</v>
      </c>
      <c r="B639" s="11" t="s">
        <v>1046</v>
      </c>
      <c r="C639" s="84" t="s">
        <v>268</v>
      </c>
      <c r="D639" s="88" t="s">
        <v>958</v>
      </c>
      <c r="E639" s="31" t="s">
        <v>48</v>
      </c>
      <c r="F639" s="85" t="s">
        <v>49</v>
      </c>
      <c r="G639" s="375"/>
      <c r="H639" s="365">
        <v>84</v>
      </c>
      <c r="I639" s="379"/>
      <c r="J639" s="365">
        <v>7</v>
      </c>
      <c r="K639" s="120"/>
      <c r="L639" s="120"/>
      <c r="M639" s="120">
        <v>50318</v>
      </c>
      <c r="N639" s="120">
        <v>38868</v>
      </c>
      <c r="O639" s="120">
        <v>4460</v>
      </c>
      <c r="P639" s="120" t="s">
        <v>207</v>
      </c>
      <c r="Q639" s="120">
        <v>3321</v>
      </c>
      <c r="R639" s="120" t="s">
        <v>207</v>
      </c>
      <c r="S639" s="120">
        <v>2529</v>
      </c>
      <c r="T639" s="120" t="s">
        <v>207</v>
      </c>
      <c r="U639" s="120">
        <v>2872</v>
      </c>
      <c r="V639" s="120" t="s">
        <v>207</v>
      </c>
      <c r="W639" s="120">
        <v>1957</v>
      </c>
      <c r="X639" s="120" t="s">
        <v>207</v>
      </c>
      <c r="Y639" s="120">
        <v>1374</v>
      </c>
      <c r="Z639" s="120" t="s">
        <v>207</v>
      </c>
      <c r="AA639" s="120">
        <v>1199</v>
      </c>
      <c r="AB639" s="120" t="s">
        <v>207</v>
      </c>
      <c r="AC639" s="120">
        <v>921</v>
      </c>
      <c r="AD639" s="120" t="s">
        <v>207</v>
      </c>
      <c r="AE639" s="120">
        <v>1769</v>
      </c>
      <c r="AF639" s="120" t="s">
        <v>207</v>
      </c>
      <c r="AG639" s="120">
        <v>2449</v>
      </c>
      <c r="AH639" s="120" t="s">
        <v>207</v>
      </c>
      <c r="AI639" s="120">
        <v>2785</v>
      </c>
      <c r="AJ639" s="120" t="s">
        <v>207</v>
      </c>
      <c r="AK639" s="120">
        <v>3417</v>
      </c>
      <c r="AL639" s="120" t="s">
        <v>207</v>
      </c>
      <c r="AM639" s="117">
        <f t="shared" si="18"/>
        <v>29053</v>
      </c>
    </row>
    <row r="640" spans="1:39" s="90" customFormat="1" ht="18" customHeight="1" x14ac:dyDescent="0.3">
      <c r="A640" s="114">
        <v>355</v>
      </c>
      <c r="B640" s="11" t="s">
        <v>1047</v>
      </c>
      <c r="C640" s="84" t="s">
        <v>268</v>
      </c>
      <c r="D640" s="88" t="s">
        <v>958</v>
      </c>
      <c r="E640" s="31" t="s">
        <v>48</v>
      </c>
      <c r="F640" s="85" t="s">
        <v>49</v>
      </c>
      <c r="G640" s="375"/>
      <c r="H640" s="365">
        <v>84</v>
      </c>
      <c r="I640" s="379"/>
      <c r="J640" s="365">
        <v>7</v>
      </c>
      <c r="K640" s="120"/>
      <c r="L640" s="120"/>
      <c r="M640" s="120"/>
      <c r="N640" s="120">
        <v>53330</v>
      </c>
      <c r="O640" s="120"/>
      <c r="P640" s="120" t="s">
        <v>207</v>
      </c>
      <c r="Q640" s="120"/>
      <c r="R640" s="120" t="s">
        <v>207</v>
      </c>
      <c r="S640" s="120"/>
      <c r="T640" s="120" t="s">
        <v>207</v>
      </c>
      <c r="U640" s="120"/>
      <c r="V640" s="120" t="s">
        <v>207</v>
      </c>
      <c r="W640" s="120"/>
      <c r="X640" s="120" t="s">
        <v>207</v>
      </c>
      <c r="Y640" s="120"/>
      <c r="Z640" s="120" t="s">
        <v>207</v>
      </c>
      <c r="AA640" s="120"/>
      <c r="AB640" s="120" t="s">
        <v>207</v>
      </c>
      <c r="AC640" s="120"/>
      <c r="AD640" s="120" t="s">
        <v>207</v>
      </c>
      <c r="AE640" s="120"/>
      <c r="AF640" s="120" t="s">
        <v>207</v>
      </c>
      <c r="AG640" s="120"/>
      <c r="AH640" s="120" t="s">
        <v>207</v>
      </c>
      <c r="AI640" s="120"/>
      <c r="AJ640" s="120" t="s">
        <v>207</v>
      </c>
      <c r="AK640" s="120"/>
      <c r="AL640" s="120" t="s">
        <v>207</v>
      </c>
      <c r="AM640" s="117">
        <f t="shared" si="18"/>
        <v>0</v>
      </c>
    </row>
    <row r="641" spans="1:39" s="90" customFormat="1" ht="18" customHeight="1" x14ac:dyDescent="0.3">
      <c r="A641" s="297">
        <v>356</v>
      </c>
      <c r="B641" s="11" t="s">
        <v>1048</v>
      </c>
      <c r="C641" s="84" t="s">
        <v>268</v>
      </c>
      <c r="D641" s="88" t="s">
        <v>958</v>
      </c>
      <c r="E641" s="31" t="s">
        <v>48</v>
      </c>
      <c r="F641" s="85" t="s">
        <v>49</v>
      </c>
      <c r="G641" s="375"/>
      <c r="H641" s="365">
        <v>84</v>
      </c>
      <c r="I641" s="379"/>
      <c r="J641" s="365">
        <v>7</v>
      </c>
      <c r="K641" s="120"/>
      <c r="L641" s="120"/>
      <c r="M641" s="120"/>
      <c r="N641" s="120">
        <v>57615</v>
      </c>
      <c r="O641" s="120"/>
      <c r="P641" s="120" t="s">
        <v>207</v>
      </c>
      <c r="Q641" s="120"/>
      <c r="R641" s="120" t="s">
        <v>207</v>
      </c>
      <c r="S641" s="120"/>
      <c r="T641" s="120" t="s">
        <v>207</v>
      </c>
      <c r="U641" s="120"/>
      <c r="V641" s="120" t="s">
        <v>207</v>
      </c>
      <c r="W641" s="120"/>
      <c r="X641" s="120" t="s">
        <v>207</v>
      </c>
      <c r="Y641" s="120"/>
      <c r="Z641" s="120" t="s">
        <v>207</v>
      </c>
      <c r="AA641" s="120"/>
      <c r="AB641" s="120" t="s">
        <v>207</v>
      </c>
      <c r="AC641" s="120"/>
      <c r="AD641" s="120" t="s">
        <v>207</v>
      </c>
      <c r="AE641" s="120"/>
      <c r="AF641" s="120" t="s">
        <v>207</v>
      </c>
      <c r="AG641" s="120"/>
      <c r="AH641" s="120" t="s">
        <v>207</v>
      </c>
      <c r="AI641" s="120"/>
      <c r="AJ641" s="120" t="s">
        <v>207</v>
      </c>
      <c r="AK641" s="120"/>
      <c r="AL641" s="120" t="s">
        <v>207</v>
      </c>
      <c r="AM641" s="117">
        <f t="shared" si="18"/>
        <v>0</v>
      </c>
    </row>
    <row r="642" spans="1:39" s="90" customFormat="1" ht="18" customHeight="1" x14ac:dyDescent="0.3">
      <c r="A642" s="114">
        <v>357</v>
      </c>
      <c r="B642" s="11" t="s">
        <v>1049</v>
      </c>
      <c r="C642" s="84" t="s">
        <v>268</v>
      </c>
      <c r="D642" s="88" t="s">
        <v>958</v>
      </c>
      <c r="E642" s="31" t="s">
        <v>48</v>
      </c>
      <c r="F642" s="85" t="s">
        <v>49</v>
      </c>
      <c r="G642" s="375"/>
      <c r="H642" s="365">
        <v>96</v>
      </c>
      <c r="I642" s="379"/>
      <c r="J642" s="365">
        <v>7</v>
      </c>
      <c r="K642" s="120"/>
      <c r="L642" s="120"/>
      <c r="M642" s="120">
        <v>22024</v>
      </c>
      <c r="N642" s="120">
        <v>10718</v>
      </c>
      <c r="O642" s="120">
        <v>1258</v>
      </c>
      <c r="P642" s="120" t="s">
        <v>207</v>
      </c>
      <c r="Q642" s="120">
        <v>1126</v>
      </c>
      <c r="R642" s="120" t="s">
        <v>207</v>
      </c>
      <c r="S642" s="120">
        <v>926</v>
      </c>
      <c r="T642" s="120" t="s">
        <v>207</v>
      </c>
      <c r="U642" s="120">
        <v>443</v>
      </c>
      <c r="V642" s="120" t="s">
        <v>207</v>
      </c>
      <c r="W642" s="120">
        <v>574</v>
      </c>
      <c r="X642" s="120" t="s">
        <v>207</v>
      </c>
      <c r="Y642" s="120">
        <v>427</v>
      </c>
      <c r="Z642" s="120" t="s">
        <v>207</v>
      </c>
      <c r="AA642" s="120">
        <v>355</v>
      </c>
      <c r="AB642" s="120" t="s">
        <v>207</v>
      </c>
      <c r="AC642" s="120">
        <v>691</v>
      </c>
      <c r="AD642" s="120" t="s">
        <v>207</v>
      </c>
      <c r="AE642" s="120">
        <v>785</v>
      </c>
      <c r="AF642" s="120" t="s">
        <v>207</v>
      </c>
      <c r="AG642" s="120">
        <v>906</v>
      </c>
      <c r="AH642" s="120" t="s">
        <v>207</v>
      </c>
      <c r="AI642" s="120">
        <v>1185</v>
      </c>
      <c r="AJ642" s="120" t="s">
        <v>207</v>
      </c>
      <c r="AK642" s="120">
        <v>1403</v>
      </c>
      <c r="AL642" s="120" t="s">
        <v>207</v>
      </c>
      <c r="AM642" s="117">
        <f t="shared" si="18"/>
        <v>10079</v>
      </c>
    </row>
    <row r="643" spans="1:39" s="90" customFormat="1" ht="18" customHeight="1" x14ac:dyDescent="0.3">
      <c r="A643" s="114">
        <v>358</v>
      </c>
      <c r="B643" s="11" t="s">
        <v>1050</v>
      </c>
      <c r="C643" s="84" t="s">
        <v>268</v>
      </c>
      <c r="D643" s="88" t="s">
        <v>958</v>
      </c>
      <c r="E643" s="31" t="s">
        <v>48</v>
      </c>
      <c r="F643" s="85" t="s">
        <v>49</v>
      </c>
      <c r="G643" s="375"/>
      <c r="H643" s="365">
        <v>49</v>
      </c>
      <c r="I643" s="379"/>
      <c r="J643" s="365">
        <v>7</v>
      </c>
      <c r="K643" s="120"/>
      <c r="L643" s="120"/>
      <c r="M643" s="120">
        <v>10799</v>
      </c>
      <c r="N643" s="120">
        <v>11655</v>
      </c>
      <c r="O643" s="120">
        <v>1390</v>
      </c>
      <c r="P643" s="120" t="s">
        <v>207</v>
      </c>
      <c r="Q643" s="120">
        <v>1186</v>
      </c>
      <c r="R643" s="120" t="s">
        <v>207</v>
      </c>
      <c r="S643" s="120">
        <v>1573</v>
      </c>
      <c r="T643" s="120" t="s">
        <v>207</v>
      </c>
      <c r="U643" s="120">
        <v>1221</v>
      </c>
      <c r="V643" s="120" t="s">
        <v>207</v>
      </c>
      <c r="W643" s="120">
        <v>958</v>
      </c>
      <c r="X643" s="120" t="s">
        <v>207</v>
      </c>
      <c r="Y643" s="120">
        <v>980</v>
      </c>
      <c r="Z643" s="120" t="s">
        <v>207</v>
      </c>
      <c r="AA643" s="120">
        <v>753</v>
      </c>
      <c r="AB643" s="120" t="s">
        <v>207</v>
      </c>
      <c r="AC643" s="120">
        <v>592</v>
      </c>
      <c r="AD643" s="120" t="s">
        <v>207</v>
      </c>
      <c r="AE643" s="120">
        <v>1232</v>
      </c>
      <c r="AF643" s="120" t="s">
        <v>207</v>
      </c>
      <c r="AG643" s="120">
        <v>1543</v>
      </c>
      <c r="AH643" s="120" t="s">
        <v>207</v>
      </c>
      <c r="AI643" s="120">
        <v>1047</v>
      </c>
      <c r="AJ643" s="120" t="s">
        <v>207</v>
      </c>
      <c r="AK643" s="120">
        <v>1334</v>
      </c>
      <c r="AL643" s="120" t="s">
        <v>207</v>
      </c>
      <c r="AM643" s="117">
        <f t="shared" si="18"/>
        <v>13809</v>
      </c>
    </row>
    <row r="644" spans="1:39" s="90" customFormat="1" ht="18" customHeight="1" x14ac:dyDescent="0.3">
      <c r="A644" s="297">
        <v>359</v>
      </c>
      <c r="B644" s="11" t="s">
        <v>1051</v>
      </c>
      <c r="C644" s="84" t="s">
        <v>268</v>
      </c>
      <c r="D644" s="88" t="s">
        <v>958</v>
      </c>
      <c r="E644" s="31" t="s">
        <v>48</v>
      </c>
      <c r="F644" s="85" t="s">
        <v>49</v>
      </c>
      <c r="G644" s="375"/>
      <c r="H644" s="365">
        <v>49</v>
      </c>
      <c r="I644" s="379"/>
      <c r="J644" s="365">
        <v>7</v>
      </c>
      <c r="K644" s="120"/>
      <c r="L644" s="120"/>
      <c r="M644" s="120">
        <v>8620</v>
      </c>
      <c r="N644" s="120">
        <v>8016</v>
      </c>
      <c r="O644" s="120">
        <v>1524</v>
      </c>
      <c r="P644" s="120" t="s">
        <v>207</v>
      </c>
      <c r="Q644" s="120">
        <v>1182</v>
      </c>
      <c r="R644" s="120" t="s">
        <v>207</v>
      </c>
      <c r="S644" s="120">
        <v>512</v>
      </c>
      <c r="T644" s="120" t="s">
        <v>207</v>
      </c>
      <c r="U644" s="120">
        <v>447</v>
      </c>
      <c r="V644" s="120" t="s">
        <v>207</v>
      </c>
      <c r="W644" s="120">
        <v>374</v>
      </c>
      <c r="X644" s="120" t="s">
        <v>207</v>
      </c>
      <c r="Y644" s="120">
        <v>571</v>
      </c>
      <c r="Z644" s="120" t="s">
        <v>207</v>
      </c>
      <c r="AA644" s="120">
        <v>288</v>
      </c>
      <c r="AB644" s="120" t="s">
        <v>207</v>
      </c>
      <c r="AC644" s="120">
        <v>506</v>
      </c>
      <c r="AD644" s="120" t="s">
        <v>207</v>
      </c>
      <c r="AE644" s="120">
        <v>217</v>
      </c>
      <c r="AF644" s="120" t="s">
        <v>207</v>
      </c>
      <c r="AG644" s="120">
        <v>782</v>
      </c>
      <c r="AH644" s="120" t="s">
        <v>207</v>
      </c>
      <c r="AI644" s="120">
        <v>671</v>
      </c>
      <c r="AJ644" s="120" t="s">
        <v>207</v>
      </c>
      <c r="AK644" s="120">
        <v>1281</v>
      </c>
      <c r="AL644" s="120" t="s">
        <v>207</v>
      </c>
      <c r="AM644" s="117">
        <f t="shared" si="18"/>
        <v>8355</v>
      </c>
    </row>
    <row r="645" spans="1:39" s="90" customFormat="1" ht="18" customHeight="1" x14ac:dyDescent="0.3">
      <c r="A645" s="114">
        <v>360</v>
      </c>
      <c r="B645" s="11" t="s">
        <v>1052</v>
      </c>
      <c r="C645" s="84" t="s">
        <v>268</v>
      </c>
      <c r="D645" s="88" t="s">
        <v>958</v>
      </c>
      <c r="E645" s="31" t="s">
        <v>48</v>
      </c>
      <c r="F645" s="85" t="s">
        <v>49</v>
      </c>
      <c r="G645" s="375"/>
      <c r="H645" s="365">
        <v>108</v>
      </c>
      <c r="I645" s="379"/>
      <c r="J645" s="365">
        <v>9</v>
      </c>
      <c r="K645" s="120"/>
      <c r="L645" s="120"/>
      <c r="M645" s="120">
        <v>70532</v>
      </c>
      <c r="N645" s="120">
        <v>58182</v>
      </c>
      <c r="O645" s="120">
        <v>4907</v>
      </c>
      <c r="P645" s="120" t="s">
        <v>207</v>
      </c>
      <c r="Q645" s="120">
        <v>5438</v>
      </c>
      <c r="R645" s="120" t="s">
        <v>207</v>
      </c>
      <c r="S645" s="120">
        <v>6010</v>
      </c>
      <c r="T645" s="120" t="s">
        <v>207</v>
      </c>
      <c r="U645" s="120">
        <v>2583</v>
      </c>
      <c r="V645" s="120" t="s">
        <v>207</v>
      </c>
      <c r="W645" s="120">
        <v>2769</v>
      </c>
      <c r="X645" s="120" t="s">
        <v>207</v>
      </c>
      <c r="Y645" s="120">
        <v>2996</v>
      </c>
      <c r="Z645" s="120" t="s">
        <v>207</v>
      </c>
      <c r="AA645" s="120">
        <v>2461</v>
      </c>
      <c r="AB645" s="120" t="s">
        <v>207</v>
      </c>
      <c r="AC645" s="120">
        <v>2064</v>
      </c>
      <c r="AD645" s="120" t="s">
        <v>207</v>
      </c>
      <c r="AE645" s="120">
        <v>2636</v>
      </c>
      <c r="AF645" s="120" t="s">
        <v>207</v>
      </c>
      <c r="AG645" s="120">
        <v>3660</v>
      </c>
      <c r="AH645" s="120" t="s">
        <v>207</v>
      </c>
      <c r="AI645" s="120">
        <v>3739</v>
      </c>
      <c r="AJ645" s="120" t="s">
        <v>207</v>
      </c>
      <c r="AK645" s="120">
        <v>5252</v>
      </c>
      <c r="AL645" s="120" t="s">
        <v>207</v>
      </c>
      <c r="AM645" s="117">
        <f t="shared" si="18"/>
        <v>44515</v>
      </c>
    </row>
    <row r="646" spans="1:39" s="90" customFormat="1" ht="18" customHeight="1" x14ac:dyDescent="0.3">
      <c r="A646" s="114">
        <v>361</v>
      </c>
      <c r="B646" s="11" t="s">
        <v>1053</v>
      </c>
      <c r="C646" s="84" t="s">
        <v>268</v>
      </c>
      <c r="D646" s="88" t="s">
        <v>958</v>
      </c>
      <c r="E646" s="31" t="s">
        <v>48</v>
      </c>
      <c r="F646" s="85" t="s">
        <v>49</v>
      </c>
      <c r="G646" s="375"/>
      <c r="H646" s="365">
        <v>112</v>
      </c>
      <c r="I646" s="379"/>
      <c r="J646" s="365">
        <v>9</v>
      </c>
      <c r="K646" s="120"/>
      <c r="L646" s="120"/>
      <c r="M646" s="120">
        <v>29951</v>
      </c>
      <c r="N646" s="120">
        <v>16994</v>
      </c>
      <c r="O646" s="120">
        <v>2240</v>
      </c>
      <c r="P646" s="120" t="s">
        <v>207</v>
      </c>
      <c r="Q646" s="120">
        <v>1772</v>
      </c>
      <c r="R646" s="120" t="s">
        <v>207</v>
      </c>
      <c r="S646" s="120">
        <v>1769</v>
      </c>
      <c r="T646" s="120" t="s">
        <v>207</v>
      </c>
      <c r="U646" s="120">
        <v>1140</v>
      </c>
      <c r="V646" s="120" t="s">
        <v>207</v>
      </c>
      <c r="W646" s="120">
        <v>1258</v>
      </c>
      <c r="X646" s="120" t="s">
        <v>207</v>
      </c>
      <c r="Y646" s="120">
        <v>1509</v>
      </c>
      <c r="Z646" s="120" t="s">
        <v>207</v>
      </c>
      <c r="AA646" s="120">
        <v>757</v>
      </c>
      <c r="AB646" s="120" t="s">
        <v>207</v>
      </c>
      <c r="AC646" s="120">
        <v>586</v>
      </c>
      <c r="AD646" s="120" t="s">
        <v>207</v>
      </c>
      <c r="AE646" s="120">
        <v>1066</v>
      </c>
      <c r="AF646" s="120" t="s">
        <v>207</v>
      </c>
      <c r="AG646" s="120">
        <v>1648</v>
      </c>
      <c r="AH646" s="120" t="s">
        <v>207</v>
      </c>
      <c r="AI646" s="120">
        <v>1988</v>
      </c>
      <c r="AJ646" s="120" t="s">
        <v>207</v>
      </c>
      <c r="AK646" s="120">
        <v>2683</v>
      </c>
      <c r="AL646" s="120" t="s">
        <v>207</v>
      </c>
      <c r="AM646" s="117">
        <f t="shared" si="18"/>
        <v>18416</v>
      </c>
    </row>
    <row r="647" spans="1:39" s="90" customFormat="1" ht="18" customHeight="1" x14ac:dyDescent="0.3">
      <c r="A647" s="297">
        <v>362</v>
      </c>
      <c r="B647" s="11" t="s">
        <v>1054</v>
      </c>
      <c r="C647" s="84" t="s">
        <v>268</v>
      </c>
      <c r="D647" s="88" t="s">
        <v>958</v>
      </c>
      <c r="E647" s="31" t="s">
        <v>48</v>
      </c>
      <c r="F647" s="85" t="s">
        <v>49</v>
      </c>
      <c r="G647" s="375"/>
      <c r="H647" s="365">
        <v>112</v>
      </c>
      <c r="I647" s="379"/>
      <c r="J647" s="365">
        <v>10</v>
      </c>
      <c r="K647" s="120"/>
      <c r="L647" s="120"/>
      <c r="M647" s="120">
        <v>12656</v>
      </c>
      <c r="N647" s="120">
        <v>12020</v>
      </c>
      <c r="O647" s="120">
        <v>1376</v>
      </c>
      <c r="P647" s="120" t="s">
        <v>207</v>
      </c>
      <c r="Q647" s="120">
        <v>1331</v>
      </c>
      <c r="R647" s="120" t="s">
        <v>207</v>
      </c>
      <c r="S647" s="120">
        <v>901</v>
      </c>
      <c r="T647" s="120" t="s">
        <v>207</v>
      </c>
      <c r="U647" s="120">
        <v>1332</v>
      </c>
      <c r="V647" s="120" t="s">
        <v>207</v>
      </c>
      <c r="W647" s="120">
        <v>909</v>
      </c>
      <c r="X647" s="120" t="s">
        <v>207</v>
      </c>
      <c r="Y647" s="120">
        <v>862</v>
      </c>
      <c r="Z647" s="120" t="s">
        <v>207</v>
      </c>
      <c r="AA647" s="120">
        <v>899</v>
      </c>
      <c r="AB647" s="120" t="s">
        <v>207</v>
      </c>
      <c r="AC647" s="120">
        <v>983</v>
      </c>
      <c r="AD647" s="120" t="s">
        <v>207</v>
      </c>
      <c r="AE647" s="120">
        <v>994</v>
      </c>
      <c r="AF647" s="120" t="s">
        <v>207</v>
      </c>
      <c r="AG647" s="120">
        <v>1360</v>
      </c>
      <c r="AH647" s="120" t="s">
        <v>207</v>
      </c>
      <c r="AI647" s="120">
        <v>1273</v>
      </c>
      <c r="AJ647" s="120" t="s">
        <v>207</v>
      </c>
      <c r="AK647" s="120">
        <v>1782</v>
      </c>
      <c r="AL647" s="120" t="s">
        <v>207</v>
      </c>
      <c r="AM647" s="117">
        <f t="shared" si="18"/>
        <v>14002</v>
      </c>
    </row>
    <row r="648" spans="1:39" s="90" customFormat="1" ht="18" customHeight="1" x14ac:dyDescent="0.3">
      <c r="A648" s="114">
        <v>363</v>
      </c>
      <c r="B648" s="11" t="s">
        <v>1055</v>
      </c>
      <c r="C648" s="84" t="s">
        <v>268</v>
      </c>
      <c r="D648" s="88" t="s">
        <v>958</v>
      </c>
      <c r="E648" s="31" t="s">
        <v>48</v>
      </c>
      <c r="F648" s="85" t="s">
        <v>49</v>
      </c>
      <c r="G648" s="375"/>
      <c r="H648" s="365">
        <v>110</v>
      </c>
      <c r="I648" s="379"/>
      <c r="J648" s="365">
        <v>10</v>
      </c>
      <c r="K648" s="120"/>
      <c r="L648" s="120"/>
      <c r="M648" s="120">
        <v>61727</v>
      </c>
      <c r="N648" s="120">
        <v>15625</v>
      </c>
      <c r="O648" s="120">
        <v>4993</v>
      </c>
      <c r="P648" s="120" t="s">
        <v>207</v>
      </c>
      <c r="Q648" s="120">
        <v>6111</v>
      </c>
      <c r="R648" s="120" t="s">
        <v>207</v>
      </c>
      <c r="S648" s="120">
        <v>4605</v>
      </c>
      <c r="T648" s="120" t="s">
        <v>207</v>
      </c>
      <c r="U648" s="120">
        <v>2331</v>
      </c>
      <c r="V648" s="120" t="s">
        <v>207</v>
      </c>
      <c r="W648" s="120">
        <v>3802</v>
      </c>
      <c r="X648" s="120" t="s">
        <v>207</v>
      </c>
      <c r="Y648" s="120">
        <v>3371</v>
      </c>
      <c r="Z648" s="120" t="s">
        <v>207</v>
      </c>
      <c r="AA648" s="120">
        <v>2643</v>
      </c>
      <c r="AB648" s="120" t="s">
        <v>207</v>
      </c>
      <c r="AC648" s="120">
        <v>1607</v>
      </c>
      <c r="AD648" s="120" t="s">
        <v>207</v>
      </c>
      <c r="AE648" s="120">
        <v>4681</v>
      </c>
      <c r="AF648" s="120" t="s">
        <v>207</v>
      </c>
      <c r="AG648" s="120">
        <v>4207</v>
      </c>
      <c r="AH648" s="120" t="s">
        <v>207</v>
      </c>
      <c r="AI648" s="120">
        <v>5391</v>
      </c>
      <c r="AJ648" s="120" t="s">
        <v>207</v>
      </c>
      <c r="AK648" s="120">
        <v>6332</v>
      </c>
      <c r="AL648" s="120" t="s">
        <v>207</v>
      </c>
      <c r="AM648" s="117">
        <f t="shared" si="18"/>
        <v>50074</v>
      </c>
    </row>
    <row r="649" spans="1:39" s="90" customFormat="1" ht="18" customHeight="1" x14ac:dyDescent="0.3">
      <c r="A649" s="114">
        <v>364</v>
      </c>
      <c r="B649" s="11" t="s">
        <v>1056</v>
      </c>
      <c r="C649" s="84" t="s">
        <v>268</v>
      </c>
      <c r="D649" s="88" t="s">
        <v>958</v>
      </c>
      <c r="E649" s="31" t="s">
        <v>48</v>
      </c>
      <c r="F649" s="85" t="s">
        <v>49</v>
      </c>
      <c r="G649" s="375"/>
      <c r="H649" s="365">
        <v>115</v>
      </c>
      <c r="I649" s="379"/>
      <c r="J649" s="365">
        <v>10</v>
      </c>
      <c r="K649" s="120"/>
      <c r="L649" s="120"/>
      <c r="M649" s="120">
        <v>21265</v>
      </c>
      <c r="N649" s="120">
        <v>5641</v>
      </c>
      <c r="O649" s="120">
        <v>2973</v>
      </c>
      <c r="P649" s="120" t="s">
        <v>207</v>
      </c>
      <c r="Q649" s="120">
        <v>2714</v>
      </c>
      <c r="R649" s="120" t="s">
        <v>207</v>
      </c>
      <c r="S649" s="120">
        <v>2210</v>
      </c>
      <c r="T649" s="120" t="s">
        <v>207</v>
      </c>
      <c r="U649" s="120">
        <v>2104</v>
      </c>
      <c r="V649" s="120" t="s">
        <v>207</v>
      </c>
      <c r="W649" s="120">
        <v>1838</v>
      </c>
      <c r="X649" s="120" t="s">
        <v>207</v>
      </c>
      <c r="Y649" s="120">
        <v>1793</v>
      </c>
      <c r="Z649" s="120" t="s">
        <v>207</v>
      </c>
      <c r="AA649" s="120">
        <v>1246</v>
      </c>
      <c r="AB649" s="120" t="s">
        <v>207</v>
      </c>
      <c r="AC649" s="120">
        <v>915</v>
      </c>
      <c r="AD649" s="120" t="s">
        <v>207</v>
      </c>
      <c r="AE649" s="120">
        <v>1800</v>
      </c>
      <c r="AF649" s="120" t="s">
        <v>207</v>
      </c>
      <c r="AG649" s="120">
        <v>2497</v>
      </c>
      <c r="AH649" s="120" t="s">
        <v>207</v>
      </c>
      <c r="AI649" s="120">
        <v>2903</v>
      </c>
      <c r="AJ649" s="120" t="s">
        <v>207</v>
      </c>
      <c r="AK649" s="120">
        <v>3018</v>
      </c>
      <c r="AL649" s="120" t="s">
        <v>207</v>
      </c>
      <c r="AM649" s="117">
        <f t="shared" si="18"/>
        <v>26011</v>
      </c>
    </row>
    <row r="650" spans="1:39" s="90" customFormat="1" ht="18" customHeight="1" x14ac:dyDescent="0.3">
      <c r="A650" s="297">
        <v>365</v>
      </c>
      <c r="B650" s="11" t="s">
        <v>1057</v>
      </c>
      <c r="C650" s="84" t="s">
        <v>268</v>
      </c>
      <c r="D650" s="88" t="s">
        <v>958</v>
      </c>
      <c r="E650" s="31" t="s">
        <v>48</v>
      </c>
      <c r="F650" s="85" t="s">
        <v>49</v>
      </c>
      <c r="G650" s="375"/>
      <c r="H650" s="365">
        <v>48</v>
      </c>
      <c r="I650" s="379"/>
      <c r="J650" s="365">
        <v>6</v>
      </c>
      <c r="K650" s="120"/>
      <c r="L650" s="120"/>
      <c r="M650" s="120">
        <v>11394</v>
      </c>
      <c r="N650" s="120">
        <v>8538</v>
      </c>
      <c r="O650" s="120">
        <v>1038</v>
      </c>
      <c r="P650" s="120" t="s">
        <v>207</v>
      </c>
      <c r="Q650" s="120">
        <v>612</v>
      </c>
      <c r="R650" s="120" t="s">
        <v>207</v>
      </c>
      <c r="S650" s="120">
        <v>952</v>
      </c>
      <c r="T650" s="120" t="s">
        <v>207</v>
      </c>
      <c r="U650" s="120">
        <v>550</v>
      </c>
      <c r="V650" s="120" t="s">
        <v>207</v>
      </c>
      <c r="W650" s="120">
        <v>676</v>
      </c>
      <c r="X650" s="120" t="s">
        <v>207</v>
      </c>
      <c r="Y650" s="120">
        <v>568</v>
      </c>
      <c r="Z650" s="120" t="s">
        <v>207</v>
      </c>
      <c r="AA650" s="120">
        <v>683</v>
      </c>
      <c r="AB650" s="120" t="s">
        <v>207</v>
      </c>
      <c r="AC650" s="120">
        <v>599</v>
      </c>
      <c r="AD650" s="120" t="s">
        <v>207</v>
      </c>
      <c r="AE650" s="120">
        <v>725</v>
      </c>
      <c r="AF650" s="120" t="s">
        <v>207</v>
      </c>
      <c r="AG650" s="120">
        <v>691</v>
      </c>
      <c r="AH650" s="120" t="s">
        <v>207</v>
      </c>
      <c r="AI650" s="120">
        <v>766</v>
      </c>
      <c r="AJ650" s="120" t="s">
        <v>207</v>
      </c>
      <c r="AK650" s="120">
        <v>839</v>
      </c>
      <c r="AL650" s="120" t="s">
        <v>207</v>
      </c>
      <c r="AM650" s="117">
        <f t="shared" si="18"/>
        <v>8699</v>
      </c>
    </row>
    <row r="651" spans="1:39" s="90" customFormat="1" ht="18" customHeight="1" x14ac:dyDescent="0.3">
      <c r="A651" s="114">
        <v>366</v>
      </c>
      <c r="B651" s="11" t="s">
        <v>1058</v>
      </c>
      <c r="C651" s="84" t="s">
        <v>268</v>
      </c>
      <c r="D651" s="88" t="s">
        <v>958</v>
      </c>
      <c r="E651" s="31" t="s">
        <v>48</v>
      </c>
      <c r="F651" s="85" t="s">
        <v>49</v>
      </c>
      <c r="G651" s="375"/>
      <c r="H651" s="365">
        <v>48</v>
      </c>
      <c r="I651" s="379"/>
      <c r="J651" s="365">
        <v>6</v>
      </c>
      <c r="K651" s="120"/>
      <c r="L651" s="120"/>
      <c r="M651" s="120"/>
      <c r="N651" s="120">
        <v>9685</v>
      </c>
      <c r="O651" s="120"/>
      <c r="P651" s="120" t="s">
        <v>207</v>
      </c>
      <c r="Q651" s="120"/>
      <c r="R651" s="120" t="s">
        <v>207</v>
      </c>
      <c r="S651" s="120"/>
      <c r="T651" s="120" t="s">
        <v>207</v>
      </c>
      <c r="U651" s="120"/>
      <c r="V651" s="120" t="s">
        <v>207</v>
      </c>
      <c r="W651" s="120"/>
      <c r="X651" s="120" t="s">
        <v>207</v>
      </c>
      <c r="Y651" s="120"/>
      <c r="Z651" s="120" t="s">
        <v>207</v>
      </c>
      <c r="AA651" s="120"/>
      <c r="AB651" s="120" t="s">
        <v>207</v>
      </c>
      <c r="AC651" s="120"/>
      <c r="AD651" s="120" t="s">
        <v>207</v>
      </c>
      <c r="AE651" s="120"/>
      <c r="AF651" s="120" t="s">
        <v>207</v>
      </c>
      <c r="AG651" s="120"/>
      <c r="AH651" s="120" t="s">
        <v>207</v>
      </c>
      <c r="AI651" s="120"/>
      <c r="AJ651" s="120" t="s">
        <v>207</v>
      </c>
      <c r="AK651" s="120"/>
      <c r="AL651" s="120" t="s">
        <v>207</v>
      </c>
      <c r="AM651" s="117">
        <f t="shared" si="18"/>
        <v>0</v>
      </c>
    </row>
    <row r="652" spans="1:39" s="90" customFormat="1" ht="18" customHeight="1" x14ac:dyDescent="0.3">
      <c r="A652" s="114">
        <v>367</v>
      </c>
      <c r="B652" s="11" t="s">
        <v>1059</v>
      </c>
      <c r="C652" s="84" t="s">
        <v>268</v>
      </c>
      <c r="D652" s="88" t="s">
        <v>958</v>
      </c>
      <c r="E652" s="31" t="s">
        <v>48</v>
      </c>
      <c r="F652" s="85" t="s">
        <v>49</v>
      </c>
      <c r="G652" s="375"/>
      <c r="H652" s="365">
        <v>48</v>
      </c>
      <c r="I652" s="379"/>
      <c r="J652" s="365">
        <v>6</v>
      </c>
      <c r="K652" s="120"/>
      <c r="L652" s="120"/>
      <c r="M652" s="120"/>
      <c r="N652" s="120">
        <v>10523</v>
      </c>
      <c r="O652" s="120"/>
      <c r="P652" s="120" t="s">
        <v>207</v>
      </c>
      <c r="Q652" s="120"/>
      <c r="R652" s="120" t="s">
        <v>207</v>
      </c>
      <c r="S652" s="120"/>
      <c r="T652" s="120" t="s">
        <v>207</v>
      </c>
      <c r="U652" s="120"/>
      <c r="V652" s="120" t="s">
        <v>207</v>
      </c>
      <c r="W652" s="120"/>
      <c r="X652" s="120" t="s">
        <v>207</v>
      </c>
      <c r="Y652" s="120"/>
      <c r="Z652" s="120" t="s">
        <v>207</v>
      </c>
      <c r="AA652" s="120"/>
      <c r="AB652" s="120" t="s">
        <v>207</v>
      </c>
      <c r="AC652" s="120"/>
      <c r="AD652" s="120" t="s">
        <v>207</v>
      </c>
      <c r="AE652" s="120"/>
      <c r="AF652" s="120" t="s">
        <v>207</v>
      </c>
      <c r="AG652" s="120"/>
      <c r="AH652" s="120" t="s">
        <v>207</v>
      </c>
      <c r="AI652" s="120"/>
      <c r="AJ652" s="120" t="s">
        <v>207</v>
      </c>
      <c r="AK652" s="120"/>
      <c r="AL652" s="120" t="s">
        <v>207</v>
      </c>
      <c r="AM652" s="117">
        <f t="shared" si="18"/>
        <v>0</v>
      </c>
    </row>
    <row r="653" spans="1:39" s="90" customFormat="1" ht="18" customHeight="1" x14ac:dyDescent="0.3">
      <c r="A653" s="297">
        <v>368</v>
      </c>
      <c r="B653" s="11" t="s">
        <v>1060</v>
      </c>
      <c r="C653" s="84" t="s">
        <v>268</v>
      </c>
      <c r="D653" s="88" t="s">
        <v>958</v>
      </c>
      <c r="E653" s="31" t="s">
        <v>48</v>
      </c>
      <c r="F653" s="85" t="s">
        <v>49</v>
      </c>
      <c r="G653" s="375"/>
      <c r="H653" s="365">
        <v>72</v>
      </c>
      <c r="I653" s="379"/>
      <c r="J653" s="365">
        <v>9</v>
      </c>
      <c r="K653" s="120"/>
      <c r="L653" s="120"/>
      <c r="M653" s="120"/>
      <c r="N653" s="120">
        <v>13993</v>
      </c>
      <c r="O653" s="120"/>
      <c r="P653" s="120" t="s">
        <v>207</v>
      </c>
      <c r="Q653" s="120"/>
      <c r="R653" s="120" t="s">
        <v>207</v>
      </c>
      <c r="S653" s="120"/>
      <c r="T653" s="120" t="s">
        <v>207</v>
      </c>
      <c r="U653" s="120"/>
      <c r="V653" s="120" t="s">
        <v>207</v>
      </c>
      <c r="W653" s="120"/>
      <c r="X653" s="120" t="s">
        <v>207</v>
      </c>
      <c r="Y653" s="120"/>
      <c r="Z653" s="120" t="s">
        <v>207</v>
      </c>
      <c r="AA653" s="120"/>
      <c r="AB653" s="120" t="s">
        <v>207</v>
      </c>
      <c r="AC653" s="120"/>
      <c r="AD653" s="120" t="s">
        <v>207</v>
      </c>
      <c r="AE653" s="120"/>
      <c r="AF653" s="120" t="s">
        <v>207</v>
      </c>
      <c r="AG653" s="120"/>
      <c r="AH653" s="120" t="s">
        <v>207</v>
      </c>
      <c r="AI653" s="120"/>
      <c r="AJ653" s="120" t="s">
        <v>207</v>
      </c>
      <c r="AK653" s="120"/>
      <c r="AL653" s="120" t="s">
        <v>207</v>
      </c>
      <c r="AM653" s="117">
        <f t="shared" si="18"/>
        <v>0</v>
      </c>
    </row>
    <row r="654" spans="1:39" s="90" customFormat="1" ht="18" customHeight="1" x14ac:dyDescent="0.3">
      <c r="A654" s="114">
        <v>369</v>
      </c>
      <c r="B654" s="11" t="s">
        <v>1061</v>
      </c>
      <c r="C654" s="84" t="s">
        <v>268</v>
      </c>
      <c r="D654" s="88" t="s">
        <v>958</v>
      </c>
      <c r="E654" s="31" t="s">
        <v>48</v>
      </c>
      <c r="F654" s="85" t="s">
        <v>49</v>
      </c>
      <c r="G654" s="375"/>
      <c r="H654" s="365">
        <v>72</v>
      </c>
      <c r="I654" s="379"/>
      <c r="J654" s="365">
        <v>9</v>
      </c>
      <c r="K654" s="120"/>
      <c r="L654" s="120"/>
      <c r="M654" s="120"/>
      <c r="N654" s="120">
        <v>10468</v>
      </c>
      <c r="O654" s="120"/>
      <c r="P654" s="120" t="s">
        <v>207</v>
      </c>
      <c r="Q654" s="120"/>
      <c r="R654" s="120" t="s">
        <v>207</v>
      </c>
      <c r="S654" s="120"/>
      <c r="T654" s="120" t="s">
        <v>207</v>
      </c>
      <c r="U654" s="120"/>
      <c r="V654" s="120" t="s">
        <v>207</v>
      </c>
      <c r="W654" s="120"/>
      <c r="X654" s="120" t="s">
        <v>207</v>
      </c>
      <c r="Y654" s="120"/>
      <c r="Z654" s="120" t="s">
        <v>207</v>
      </c>
      <c r="AA654" s="120"/>
      <c r="AB654" s="120" t="s">
        <v>207</v>
      </c>
      <c r="AC654" s="120"/>
      <c r="AD654" s="120" t="s">
        <v>207</v>
      </c>
      <c r="AE654" s="120"/>
      <c r="AF654" s="120" t="s">
        <v>207</v>
      </c>
      <c r="AG654" s="120"/>
      <c r="AH654" s="120" t="s">
        <v>207</v>
      </c>
      <c r="AI654" s="120"/>
      <c r="AJ654" s="120" t="s">
        <v>207</v>
      </c>
      <c r="AK654" s="120"/>
      <c r="AL654" s="120" t="s">
        <v>207</v>
      </c>
      <c r="AM654" s="117">
        <f t="shared" si="18"/>
        <v>0</v>
      </c>
    </row>
    <row r="655" spans="1:39" s="90" customFormat="1" ht="18" customHeight="1" x14ac:dyDescent="0.3">
      <c r="A655" s="114">
        <v>370</v>
      </c>
      <c r="B655" s="11" t="s">
        <v>1062</v>
      </c>
      <c r="C655" s="84" t="s">
        <v>268</v>
      </c>
      <c r="D655" s="88" t="s">
        <v>958</v>
      </c>
      <c r="E655" s="31" t="s">
        <v>48</v>
      </c>
      <c r="F655" s="85" t="s">
        <v>49</v>
      </c>
      <c r="G655" s="375"/>
      <c r="H655" s="365">
        <v>84</v>
      </c>
      <c r="I655" s="379"/>
      <c r="J655" s="365">
        <v>9</v>
      </c>
      <c r="K655" s="120"/>
      <c r="L655" s="120"/>
      <c r="M655" s="120"/>
      <c r="N655" s="120">
        <v>8413</v>
      </c>
      <c r="O655" s="120"/>
      <c r="P655" s="120" t="s">
        <v>207</v>
      </c>
      <c r="Q655" s="120"/>
      <c r="R655" s="120" t="s">
        <v>207</v>
      </c>
      <c r="S655" s="120"/>
      <c r="T655" s="120" t="s">
        <v>207</v>
      </c>
      <c r="U655" s="120"/>
      <c r="V655" s="120" t="s">
        <v>207</v>
      </c>
      <c r="W655" s="120"/>
      <c r="X655" s="120" t="s">
        <v>207</v>
      </c>
      <c r="Y655" s="120"/>
      <c r="Z655" s="120" t="s">
        <v>207</v>
      </c>
      <c r="AA655" s="120"/>
      <c r="AB655" s="120" t="s">
        <v>207</v>
      </c>
      <c r="AC655" s="120"/>
      <c r="AD655" s="120" t="s">
        <v>207</v>
      </c>
      <c r="AE655" s="120"/>
      <c r="AF655" s="120" t="s">
        <v>207</v>
      </c>
      <c r="AG655" s="120"/>
      <c r="AH655" s="120" t="s">
        <v>207</v>
      </c>
      <c r="AI655" s="120"/>
      <c r="AJ655" s="120" t="s">
        <v>207</v>
      </c>
      <c r="AK655" s="120"/>
      <c r="AL655" s="120" t="s">
        <v>207</v>
      </c>
      <c r="AM655" s="117">
        <f t="shared" si="18"/>
        <v>0</v>
      </c>
    </row>
    <row r="656" spans="1:39" s="90" customFormat="1" ht="18" customHeight="1" x14ac:dyDescent="0.3">
      <c r="A656" s="297">
        <v>371</v>
      </c>
      <c r="B656" s="11" t="s">
        <v>1063</v>
      </c>
      <c r="C656" s="84" t="s">
        <v>268</v>
      </c>
      <c r="D656" s="88" t="s">
        <v>958</v>
      </c>
      <c r="E656" s="31" t="s">
        <v>48</v>
      </c>
      <c r="F656" s="85" t="s">
        <v>49</v>
      </c>
      <c r="G656" s="375"/>
      <c r="H656" s="365">
        <v>84</v>
      </c>
      <c r="I656" s="379"/>
      <c r="J656" s="365">
        <v>9</v>
      </c>
      <c r="K656" s="120"/>
      <c r="L656" s="120"/>
      <c r="M656" s="120"/>
      <c r="N656" s="120">
        <v>1246</v>
      </c>
      <c r="O656" s="120"/>
      <c r="P656" s="120" t="s">
        <v>207</v>
      </c>
      <c r="Q656" s="120"/>
      <c r="R656" s="120" t="s">
        <v>207</v>
      </c>
      <c r="S656" s="120"/>
      <c r="T656" s="120" t="s">
        <v>207</v>
      </c>
      <c r="U656" s="120"/>
      <c r="V656" s="120" t="s">
        <v>207</v>
      </c>
      <c r="W656" s="120"/>
      <c r="X656" s="120" t="s">
        <v>207</v>
      </c>
      <c r="Y656" s="120"/>
      <c r="Z656" s="120" t="s">
        <v>207</v>
      </c>
      <c r="AA656" s="120"/>
      <c r="AB656" s="120" t="s">
        <v>207</v>
      </c>
      <c r="AC656" s="120"/>
      <c r="AD656" s="120" t="s">
        <v>207</v>
      </c>
      <c r="AE656" s="120"/>
      <c r="AF656" s="120" t="s">
        <v>207</v>
      </c>
      <c r="AG656" s="120"/>
      <c r="AH656" s="120" t="s">
        <v>207</v>
      </c>
      <c r="AI656" s="120"/>
      <c r="AJ656" s="120" t="s">
        <v>207</v>
      </c>
      <c r="AK656" s="120"/>
      <c r="AL656" s="120" t="s">
        <v>207</v>
      </c>
      <c r="AM656" s="117">
        <f t="shared" si="18"/>
        <v>0</v>
      </c>
    </row>
    <row r="657" spans="1:39" s="90" customFormat="1" ht="18" customHeight="1" x14ac:dyDescent="0.3">
      <c r="A657" s="114">
        <v>372</v>
      </c>
      <c r="B657" s="11" t="s">
        <v>1064</v>
      </c>
      <c r="C657" s="84" t="s">
        <v>268</v>
      </c>
      <c r="D657" s="88" t="s">
        <v>958</v>
      </c>
      <c r="E657" s="31" t="s">
        <v>48</v>
      </c>
      <c r="F657" s="85" t="s">
        <v>49</v>
      </c>
      <c r="G657" s="375"/>
      <c r="H657" s="365">
        <v>35</v>
      </c>
      <c r="I657" s="379"/>
      <c r="J657" s="365">
        <v>9</v>
      </c>
      <c r="K657" s="120"/>
      <c r="L657" s="120"/>
      <c r="M657" s="120">
        <v>11065</v>
      </c>
      <c r="N657" s="120">
        <v>8820</v>
      </c>
      <c r="O657" s="120">
        <v>1008</v>
      </c>
      <c r="P657" s="120" t="s">
        <v>207</v>
      </c>
      <c r="Q657" s="120">
        <v>520</v>
      </c>
      <c r="R657" s="120" t="s">
        <v>207</v>
      </c>
      <c r="S657" s="120">
        <v>858</v>
      </c>
      <c r="T657" s="120" t="s">
        <v>207</v>
      </c>
      <c r="U657" s="120">
        <v>670</v>
      </c>
      <c r="V657" s="120" t="s">
        <v>207</v>
      </c>
      <c r="W657" s="120">
        <v>711</v>
      </c>
      <c r="X657" s="120" t="s">
        <v>207</v>
      </c>
      <c r="Y657" s="120">
        <v>496</v>
      </c>
      <c r="Z657" s="120" t="s">
        <v>207</v>
      </c>
      <c r="AA657" s="120">
        <v>769</v>
      </c>
      <c r="AB657" s="120" t="s">
        <v>207</v>
      </c>
      <c r="AC657" s="120">
        <v>816</v>
      </c>
      <c r="AD657" s="120" t="s">
        <v>207</v>
      </c>
      <c r="AE657" s="120">
        <v>755</v>
      </c>
      <c r="AF657" s="120" t="s">
        <v>207</v>
      </c>
      <c r="AG657" s="120">
        <v>706</v>
      </c>
      <c r="AH657" s="120" t="s">
        <v>207</v>
      </c>
      <c r="AI657" s="120">
        <v>813</v>
      </c>
      <c r="AJ657" s="120" t="s">
        <v>207</v>
      </c>
      <c r="AK657" s="120">
        <v>825</v>
      </c>
      <c r="AL657" s="120" t="s">
        <v>207</v>
      </c>
      <c r="AM657" s="117">
        <f t="shared" si="18"/>
        <v>8947</v>
      </c>
    </row>
    <row r="658" spans="1:39" s="90" customFormat="1" ht="18" customHeight="1" x14ac:dyDescent="0.3">
      <c r="A658" s="114">
        <v>373</v>
      </c>
      <c r="B658" s="11" t="s">
        <v>1065</v>
      </c>
      <c r="C658" s="84" t="s">
        <v>268</v>
      </c>
      <c r="D658" s="88" t="s">
        <v>958</v>
      </c>
      <c r="E658" s="31" t="s">
        <v>48</v>
      </c>
      <c r="F658" s="85" t="s">
        <v>49</v>
      </c>
      <c r="G658" s="375"/>
      <c r="H658" s="365">
        <v>72</v>
      </c>
      <c r="I658" s="379"/>
      <c r="J658" s="365">
        <v>9</v>
      </c>
      <c r="K658" s="120"/>
      <c r="L658" s="120"/>
      <c r="M658" s="120"/>
      <c r="N658" s="120">
        <v>10361</v>
      </c>
      <c r="O658" s="120"/>
      <c r="P658" s="120" t="s">
        <v>207</v>
      </c>
      <c r="Q658" s="120"/>
      <c r="R658" s="120" t="s">
        <v>207</v>
      </c>
      <c r="S658" s="120"/>
      <c r="T658" s="120" t="s">
        <v>207</v>
      </c>
      <c r="U658" s="120"/>
      <c r="V658" s="120" t="s">
        <v>207</v>
      </c>
      <c r="W658" s="120"/>
      <c r="X658" s="120" t="s">
        <v>207</v>
      </c>
      <c r="Y658" s="120"/>
      <c r="Z658" s="120" t="s">
        <v>207</v>
      </c>
      <c r="AA658" s="120"/>
      <c r="AB658" s="120" t="s">
        <v>207</v>
      </c>
      <c r="AC658" s="120"/>
      <c r="AD658" s="120" t="s">
        <v>207</v>
      </c>
      <c r="AE658" s="120"/>
      <c r="AF658" s="120" t="s">
        <v>207</v>
      </c>
      <c r="AG658" s="120"/>
      <c r="AH658" s="120" t="s">
        <v>207</v>
      </c>
      <c r="AI658" s="120"/>
      <c r="AJ658" s="120" t="s">
        <v>207</v>
      </c>
      <c r="AK658" s="120"/>
      <c r="AL658" s="120" t="s">
        <v>207</v>
      </c>
      <c r="AM658" s="117">
        <f t="shared" si="18"/>
        <v>0</v>
      </c>
    </row>
    <row r="659" spans="1:39" s="90" customFormat="1" ht="18" customHeight="1" x14ac:dyDescent="0.3">
      <c r="A659" s="297">
        <v>374</v>
      </c>
      <c r="B659" s="11" t="s">
        <v>1066</v>
      </c>
      <c r="C659" s="84" t="s">
        <v>268</v>
      </c>
      <c r="D659" s="88" t="s">
        <v>958</v>
      </c>
      <c r="E659" s="31" t="s">
        <v>48</v>
      </c>
      <c r="F659" s="85" t="s">
        <v>49</v>
      </c>
      <c r="G659" s="375"/>
      <c r="H659" s="365">
        <v>72</v>
      </c>
      <c r="I659" s="379"/>
      <c r="J659" s="365">
        <v>9</v>
      </c>
      <c r="K659" s="120"/>
      <c r="L659" s="120"/>
      <c r="M659" s="120"/>
      <c r="N659" s="120">
        <v>10887</v>
      </c>
      <c r="O659" s="120"/>
      <c r="P659" s="120" t="s">
        <v>207</v>
      </c>
      <c r="Q659" s="120"/>
      <c r="R659" s="120" t="s">
        <v>207</v>
      </c>
      <c r="S659" s="120"/>
      <c r="T659" s="120" t="s">
        <v>207</v>
      </c>
      <c r="U659" s="120"/>
      <c r="V659" s="120" t="s">
        <v>207</v>
      </c>
      <c r="W659" s="120"/>
      <c r="X659" s="120" t="s">
        <v>207</v>
      </c>
      <c r="Y659" s="120"/>
      <c r="Z659" s="120" t="s">
        <v>207</v>
      </c>
      <c r="AA659" s="120"/>
      <c r="AB659" s="120" t="s">
        <v>207</v>
      </c>
      <c r="AC659" s="120"/>
      <c r="AD659" s="120" t="s">
        <v>207</v>
      </c>
      <c r="AE659" s="120"/>
      <c r="AF659" s="120" t="s">
        <v>207</v>
      </c>
      <c r="AG659" s="120"/>
      <c r="AH659" s="120" t="s">
        <v>207</v>
      </c>
      <c r="AI659" s="120"/>
      <c r="AJ659" s="120" t="s">
        <v>207</v>
      </c>
      <c r="AK659" s="120"/>
      <c r="AL659" s="120" t="s">
        <v>207</v>
      </c>
      <c r="AM659" s="117">
        <f t="shared" si="18"/>
        <v>0</v>
      </c>
    </row>
    <row r="660" spans="1:39" s="90" customFormat="1" ht="18" customHeight="1" x14ac:dyDescent="0.3">
      <c r="A660" s="114">
        <v>375</v>
      </c>
      <c r="B660" s="11" t="s">
        <v>1067</v>
      </c>
      <c r="C660" s="84" t="s">
        <v>268</v>
      </c>
      <c r="D660" s="88" t="s">
        <v>958</v>
      </c>
      <c r="E660" s="31" t="s">
        <v>48</v>
      </c>
      <c r="F660" s="85" t="s">
        <v>49</v>
      </c>
      <c r="G660" s="375"/>
      <c r="H660" s="365">
        <v>72</v>
      </c>
      <c r="I660" s="379"/>
      <c r="J660" s="365">
        <v>9</v>
      </c>
      <c r="K660" s="120"/>
      <c r="L660" s="120"/>
      <c r="M660" s="120"/>
      <c r="N660" s="120">
        <v>5003</v>
      </c>
      <c r="O660" s="120"/>
      <c r="P660" s="120" t="s">
        <v>207</v>
      </c>
      <c r="Q660" s="120"/>
      <c r="R660" s="120" t="s">
        <v>207</v>
      </c>
      <c r="S660" s="120"/>
      <c r="T660" s="120" t="s">
        <v>207</v>
      </c>
      <c r="U660" s="120"/>
      <c r="V660" s="120" t="s">
        <v>207</v>
      </c>
      <c r="W660" s="120"/>
      <c r="X660" s="120" t="s">
        <v>207</v>
      </c>
      <c r="Y660" s="120"/>
      <c r="Z660" s="120" t="s">
        <v>207</v>
      </c>
      <c r="AA660" s="120"/>
      <c r="AB660" s="120" t="s">
        <v>207</v>
      </c>
      <c r="AC660" s="120"/>
      <c r="AD660" s="120" t="s">
        <v>207</v>
      </c>
      <c r="AE660" s="120"/>
      <c r="AF660" s="120" t="s">
        <v>207</v>
      </c>
      <c r="AG660" s="120"/>
      <c r="AH660" s="120" t="s">
        <v>207</v>
      </c>
      <c r="AI660" s="120"/>
      <c r="AJ660" s="120" t="s">
        <v>207</v>
      </c>
      <c r="AK660" s="120"/>
      <c r="AL660" s="120" t="s">
        <v>207</v>
      </c>
      <c r="AM660" s="117">
        <f t="shared" si="18"/>
        <v>0</v>
      </c>
    </row>
    <row r="661" spans="1:39" s="90" customFormat="1" ht="18" customHeight="1" x14ac:dyDescent="0.3">
      <c r="A661" s="114">
        <v>376</v>
      </c>
      <c r="B661" s="11" t="s">
        <v>1068</v>
      </c>
      <c r="C661" s="84" t="s">
        <v>268</v>
      </c>
      <c r="D661" s="88" t="s">
        <v>958</v>
      </c>
      <c r="E661" s="31" t="s">
        <v>48</v>
      </c>
      <c r="F661" s="85" t="s">
        <v>49</v>
      </c>
      <c r="G661" s="375"/>
      <c r="H661" s="365">
        <v>72</v>
      </c>
      <c r="I661" s="379"/>
      <c r="J661" s="365">
        <v>9</v>
      </c>
      <c r="K661" s="120"/>
      <c r="L661" s="120"/>
      <c r="M661" s="120"/>
      <c r="N661" s="120">
        <v>6180</v>
      </c>
      <c r="O661" s="120"/>
      <c r="P661" s="120" t="s">
        <v>207</v>
      </c>
      <c r="Q661" s="120"/>
      <c r="R661" s="120" t="s">
        <v>207</v>
      </c>
      <c r="S661" s="120"/>
      <c r="T661" s="120" t="s">
        <v>207</v>
      </c>
      <c r="U661" s="120"/>
      <c r="V661" s="120" t="s">
        <v>207</v>
      </c>
      <c r="W661" s="120"/>
      <c r="X661" s="120" t="s">
        <v>207</v>
      </c>
      <c r="Y661" s="120"/>
      <c r="Z661" s="120" t="s">
        <v>207</v>
      </c>
      <c r="AA661" s="120"/>
      <c r="AB661" s="120" t="s">
        <v>207</v>
      </c>
      <c r="AC661" s="120"/>
      <c r="AD661" s="120" t="s">
        <v>207</v>
      </c>
      <c r="AE661" s="120"/>
      <c r="AF661" s="120" t="s">
        <v>207</v>
      </c>
      <c r="AG661" s="120"/>
      <c r="AH661" s="120" t="s">
        <v>207</v>
      </c>
      <c r="AI661" s="120"/>
      <c r="AJ661" s="120" t="s">
        <v>207</v>
      </c>
      <c r="AK661" s="120"/>
      <c r="AL661" s="120" t="s">
        <v>207</v>
      </c>
      <c r="AM661" s="117">
        <f t="shared" si="18"/>
        <v>0</v>
      </c>
    </row>
    <row r="662" spans="1:39" s="90" customFormat="1" ht="18" customHeight="1" x14ac:dyDescent="0.3">
      <c r="A662" s="297">
        <v>377</v>
      </c>
      <c r="B662" s="11" t="s">
        <v>1069</v>
      </c>
      <c r="C662" s="84" t="s">
        <v>268</v>
      </c>
      <c r="D662" s="88" t="s">
        <v>958</v>
      </c>
      <c r="E662" s="31" t="s">
        <v>48</v>
      </c>
      <c r="F662" s="85" t="s">
        <v>49</v>
      </c>
      <c r="G662" s="375"/>
      <c r="H662" s="365">
        <v>81</v>
      </c>
      <c r="I662" s="379"/>
      <c r="J662" s="365">
        <v>9</v>
      </c>
      <c r="K662" s="120"/>
      <c r="L662" s="120"/>
      <c r="M662" s="120"/>
      <c r="N662" s="120">
        <v>4382</v>
      </c>
      <c r="O662" s="120"/>
      <c r="P662" s="120" t="s">
        <v>207</v>
      </c>
      <c r="Q662" s="120"/>
      <c r="R662" s="120" t="s">
        <v>207</v>
      </c>
      <c r="S662" s="120"/>
      <c r="T662" s="120" t="s">
        <v>207</v>
      </c>
      <c r="U662" s="120"/>
      <c r="V662" s="120" t="s">
        <v>207</v>
      </c>
      <c r="W662" s="120"/>
      <c r="X662" s="120" t="s">
        <v>207</v>
      </c>
      <c r="Y662" s="120"/>
      <c r="Z662" s="120" t="s">
        <v>207</v>
      </c>
      <c r="AA662" s="120"/>
      <c r="AB662" s="120" t="s">
        <v>207</v>
      </c>
      <c r="AC662" s="120"/>
      <c r="AD662" s="120" t="s">
        <v>207</v>
      </c>
      <c r="AE662" s="120"/>
      <c r="AF662" s="120" t="s">
        <v>207</v>
      </c>
      <c r="AG662" s="120"/>
      <c r="AH662" s="120" t="s">
        <v>207</v>
      </c>
      <c r="AI662" s="120"/>
      <c r="AJ662" s="120" t="s">
        <v>207</v>
      </c>
      <c r="AK662" s="120"/>
      <c r="AL662" s="120" t="s">
        <v>207</v>
      </c>
      <c r="AM662" s="117">
        <f t="shared" si="18"/>
        <v>0</v>
      </c>
    </row>
    <row r="663" spans="1:39" s="90" customFormat="1" ht="18" customHeight="1" x14ac:dyDescent="0.3">
      <c r="A663" s="114">
        <v>378</v>
      </c>
      <c r="B663" s="11" t="s">
        <v>1070</v>
      </c>
      <c r="C663" s="84" t="s">
        <v>268</v>
      </c>
      <c r="D663" s="88" t="s">
        <v>958</v>
      </c>
      <c r="E663" s="31" t="s">
        <v>48</v>
      </c>
      <c r="F663" s="85" t="s">
        <v>49</v>
      </c>
      <c r="G663" s="375"/>
      <c r="H663" s="365">
        <v>82</v>
      </c>
      <c r="I663" s="379"/>
      <c r="J663" s="365">
        <v>9</v>
      </c>
      <c r="K663" s="120"/>
      <c r="L663" s="120"/>
      <c r="M663" s="120">
        <v>6804</v>
      </c>
      <c r="N663" s="120">
        <v>6315</v>
      </c>
      <c r="O663" s="120">
        <v>463</v>
      </c>
      <c r="P663" s="120" t="s">
        <v>207</v>
      </c>
      <c r="Q663" s="120">
        <v>761</v>
      </c>
      <c r="R663" s="120" t="s">
        <v>207</v>
      </c>
      <c r="S663" s="120">
        <v>657</v>
      </c>
      <c r="T663" s="120" t="s">
        <v>207</v>
      </c>
      <c r="U663" s="120">
        <v>610</v>
      </c>
      <c r="V663" s="120" t="s">
        <v>207</v>
      </c>
      <c r="W663" s="120">
        <v>107</v>
      </c>
      <c r="X663" s="120" t="s">
        <v>207</v>
      </c>
      <c r="Y663" s="120">
        <v>275</v>
      </c>
      <c r="Z663" s="120" t="s">
        <v>207</v>
      </c>
      <c r="AA663" s="120">
        <v>328</v>
      </c>
      <c r="AB663" s="120" t="s">
        <v>207</v>
      </c>
      <c r="AC663" s="120">
        <v>261</v>
      </c>
      <c r="AD663" s="120" t="s">
        <v>207</v>
      </c>
      <c r="AE663" s="120">
        <v>612</v>
      </c>
      <c r="AF663" s="120" t="s">
        <v>207</v>
      </c>
      <c r="AG663" s="120">
        <v>712</v>
      </c>
      <c r="AH663" s="120" t="s">
        <v>207</v>
      </c>
      <c r="AI663" s="120">
        <v>741</v>
      </c>
      <c r="AJ663" s="120" t="s">
        <v>207</v>
      </c>
      <c r="AK663" s="120">
        <v>1022</v>
      </c>
      <c r="AL663" s="120" t="s">
        <v>207</v>
      </c>
      <c r="AM663" s="117">
        <f t="shared" si="18"/>
        <v>6549</v>
      </c>
    </row>
    <row r="664" spans="1:39" s="90" customFormat="1" ht="18" customHeight="1" x14ac:dyDescent="0.3">
      <c r="A664" s="114">
        <v>379</v>
      </c>
      <c r="B664" s="11" t="s">
        <v>1071</v>
      </c>
      <c r="C664" s="84" t="s">
        <v>268</v>
      </c>
      <c r="D664" s="88" t="s">
        <v>958</v>
      </c>
      <c r="E664" s="31" t="s">
        <v>48</v>
      </c>
      <c r="F664" s="85" t="s">
        <v>49</v>
      </c>
      <c r="G664" s="375"/>
      <c r="H664" s="365">
        <v>82</v>
      </c>
      <c r="I664" s="379"/>
      <c r="J664" s="365">
        <v>7</v>
      </c>
      <c r="K664" s="120"/>
      <c r="L664" s="120"/>
      <c r="M664" s="120">
        <v>57406</v>
      </c>
      <c r="N664" s="120">
        <v>39739</v>
      </c>
      <c r="O664" s="120">
        <v>5225</v>
      </c>
      <c r="P664" s="120" t="s">
        <v>207</v>
      </c>
      <c r="Q664" s="120">
        <v>3789</v>
      </c>
      <c r="R664" s="120" t="s">
        <v>207</v>
      </c>
      <c r="S664" s="120">
        <v>4917</v>
      </c>
      <c r="T664" s="120" t="s">
        <v>207</v>
      </c>
      <c r="U664" s="120">
        <v>4572</v>
      </c>
      <c r="V664" s="120" t="s">
        <v>207</v>
      </c>
      <c r="W664" s="120">
        <v>3852</v>
      </c>
      <c r="X664" s="120" t="s">
        <v>207</v>
      </c>
      <c r="Y664" s="120">
        <v>4116</v>
      </c>
      <c r="Z664" s="120" t="s">
        <v>207</v>
      </c>
      <c r="AA664" s="120">
        <v>3932</v>
      </c>
      <c r="AB664" s="120" t="s">
        <v>207</v>
      </c>
      <c r="AC664" s="120">
        <v>2415</v>
      </c>
      <c r="AD664" s="120" t="s">
        <v>207</v>
      </c>
      <c r="AE664" s="120">
        <v>3853</v>
      </c>
      <c r="AF664" s="120" t="s">
        <v>207</v>
      </c>
      <c r="AG664" s="120">
        <v>3834</v>
      </c>
      <c r="AH664" s="120" t="s">
        <v>207</v>
      </c>
      <c r="AI664" s="120">
        <v>3752</v>
      </c>
      <c r="AJ664" s="120" t="s">
        <v>207</v>
      </c>
      <c r="AK664" s="120">
        <v>4174</v>
      </c>
      <c r="AL664" s="120" t="s">
        <v>207</v>
      </c>
      <c r="AM664" s="117">
        <f t="shared" si="18"/>
        <v>48431</v>
      </c>
    </row>
    <row r="665" spans="1:39" s="90" customFormat="1" ht="18" customHeight="1" x14ac:dyDescent="0.3">
      <c r="A665" s="297">
        <v>380</v>
      </c>
      <c r="B665" s="11" t="s">
        <v>1072</v>
      </c>
      <c r="C665" s="84" t="s">
        <v>268</v>
      </c>
      <c r="D665" s="88" t="s">
        <v>958</v>
      </c>
      <c r="E665" s="31" t="s">
        <v>48</v>
      </c>
      <c r="F665" s="85" t="s">
        <v>49</v>
      </c>
      <c r="G665" s="375"/>
      <c r="H665" s="365">
        <v>64</v>
      </c>
      <c r="I665" s="379"/>
      <c r="J665" s="365">
        <v>6</v>
      </c>
      <c r="K665" s="120"/>
      <c r="L665" s="120"/>
      <c r="M665" s="120">
        <v>12242</v>
      </c>
      <c r="N665" s="120">
        <v>10053</v>
      </c>
      <c r="O665" s="120">
        <v>1363</v>
      </c>
      <c r="P665" s="120" t="s">
        <v>207</v>
      </c>
      <c r="Q665" s="120">
        <v>1009</v>
      </c>
      <c r="R665" s="120" t="s">
        <v>207</v>
      </c>
      <c r="S665" s="120">
        <v>1143</v>
      </c>
      <c r="T665" s="120" t="s">
        <v>207</v>
      </c>
      <c r="U665" s="120">
        <v>940</v>
      </c>
      <c r="V665" s="120" t="s">
        <v>207</v>
      </c>
      <c r="W665" s="120">
        <v>1082</v>
      </c>
      <c r="X665" s="120" t="s">
        <v>207</v>
      </c>
      <c r="Y665" s="120">
        <v>567</v>
      </c>
      <c r="Z665" s="120" t="s">
        <v>207</v>
      </c>
      <c r="AA665" s="120">
        <v>1275</v>
      </c>
      <c r="AB665" s="120" t="s">
        <v>207</v>
      </c>
      <c r="AC665" s="120">
        <v>981</v>
      </c>
      <c r="AD665" s="120" t="s">
        <v>207</v>
      </c>
      <c r="AE665" s="120">
        <v>864</v>
      </c>
      <c r="AF665" s="120" t="s">
        <v>207</v>
      </c>
      <c r="AG665" s="120">
        <v>870</v>
      </c>
      <c r="AH665" s="120" t="s">
        <v>207</v>
      </c>
      <c r="AI665" s="120">
        <v>807</v>
      </c>
      <c r="AJ665" s="120" t="s">
        <v>207</v>
      </c>
      <c r="AK665" s="120">
        <v>963</v>
      </c>
      <c r="AL665" s="120" t="s">
        <v>207</v>
      </c>
      <c r="AM665" s="117">
        <f t="shared" si="18"/>
        <v>11864</v>
      </c>
    </row>
    <row r="666" spans="1:39" s="90" customFormat="1" ht="18" customHeight="1" x14ac:dyDescent="0.3">
      <c r="A666" s="114">
        <v>381</v>
      </c>
      <c r="B666" s="11" t="s">
        <v>1073</v>
      </c>
      <c r="C666" s="84" t="s">
        <v>268</v>
      </c>
      <c r="D666" s="88" t="s">
        <v>958</v>
      </c>
      <c r="E666" s="31" t="s">
        <v>48</v>
      </c>
      <c r="F666" s="85" t="s">
        <v>49</v>
      </c>
      <c r="G666" s="375"/>
      <c r="H666" s="365">
        <v>56</v>
      </c>
      <c r="I666" s="379"/>
      <c r="J666" s="365">
        <v>6</v>
      </c>
      <c r="K666" s="120"/>
      <c r="L666" s="120"/>
      <c r="M666" s="120">
        <v>3548</v>
      </c>
      <c r="N666" s="120">
        <v>4589</v>
      </c>
      <c r="O666" s="120">
        <v>657</v>
      </c>
      <c r="P666" s="120" t="s">
        <v>207</v>
      </c>
      <c r="Q666" s="120">
        <v>311</v>
      </c>
      <c r="R666" s="120" t="s">
        <v>207</v>
      </c>
      <c r="S666" s="120">
        <v>338</v>
      </c>
      <c r="T666" s="120" t="s">
        <v>207</v>
      </c>
      <c r="U666" s="120">
        <v>236</v>
      </c>
      <c r="V666" s="120" t="s">
        <v>207</v>
      </c>
      <c r="W666" s="120">
        <v>146</v>
      </c>
      <c r="X666" s="120" t="s">
        <v>207</v>
      </c>
      <c r="Y666" s="120">
        <v>200</v>
      </c>
      <c r="Z666" s="120" t="s">
        <v>207</v>
      </c>
      <c r="AA666" s="120">
        <v>389</v>
      </c>
      <c r="AB666" s="120" t="s">
        <v>207</v>
      </c>
      <c r="AC666" s="120">
        <v>258</v>
      </c>
      <c r="AD666" s="120" t="s">
        <v>207</v>
      </c>
      <c r="AE666" s="120">
        <v>228</v>
      </c>
      <c r="AF666" s="120" t="s">
        <v>207</v>
      </c>
      <c r="AG666" s="120">
        <v>329</v>
      </c>
      <c r="AH666" s="120" t="s">
        <v>207</v>
      </c>
      <c r="AI666" s="120">
        <v>498</v>
      </c>
      <c r="AJ666" s="120" t="s">
        <v>207</v>
      </c>
      <c r="AK666" s="120">
        <v>654</v>
      </c>
      <c r="AL666" s="120" t="s">
        <v>207</v>
      </c>
      <c r="AM666" s="117">
        <f t="shared" si="18"/>
        <v>4244</v>
      </c>
    </row>
    <row r="667" spans="1:39" s="90" customFormat="1" ht="18" customHeight="1" x14ac:dyDescent="0.3">
      <c r="A667" s="114">
        <v>382</v>
      </c>
      <c r="B667" s="11" t="s">
        <v>1074</v>
      </c>
      <c r="C667" s="84" t="s">
        <v>268</v>
      </c>
      <c r="D667" s="88" t="s">
        <v>958</v>
      </c>
      <c r="E667" s="31" t="s">
        <v>48</v>
      </c>
      <c r="F667" s="85" t="s">
        <v>49</v>
      </c>
      <c r="G667" s="375"/>
      <c r="H667" s="365">
        <v>64</v>
      </c>
      <c r="I667" s="379"/>
      <c r="J667" s="365">
        <v>6</v>
      </c>
      <c r="K667" s="120"/>
      <c r="L667" s="120"/>
      <c r="M667" s="120">
        <v>1498</v>
      </c>
      <c r="N667" s="120">
        <v>11220</v>
      </c>
      <c r="O667" s="120">
        <v>214</v>
      </c>
      <c r="P667" s="120" t="s">
        <v>207</v>
      </c>
      <c r="Q667" s="120">
        <v>214</v>
      </c>
      <c r="R667" s="120" t="s">
        <v>207</v>
      </c>
      <c r="S667" s="120">
        <v>214</v>
      </c>
      <c r="T667" s="120" t="s">
        <v>207</v>
      </c>
      <c r="U667" s="120">
        <v>214</v>
      </c>
      <c r="V667" s="120" t="s">
        <v>207</v>
      </c>
      <c r="W667" s="120">
        <v>214</v>
      </c>
      <c r="X667" s="120" t="s">
        <v>207</v>
      </c>
      <c r="Y667" s="120">
        <v>214</v>
      </c>
      <c r="Z667" s="120" t="s">
        <v>207</v>
      </c>
      <c r="AA667" s="120">
        <v>0</v>
      </c>
      <c r="AB667" s="120" t="s">
        <v>207</v>
      </c>
      <c r="AC667" s="120">
        <v>0</v>
      </c>
      <c r="AD667" s="120" t="s">
        <v>207</v>
      </c>
      <c r="AE667" s="120">
        <v>0</v>
      </c>
      <c r="AF667" s="120" t="s">
        <v>207</v>
      </c>
      <c r="AG667" s="120">
        <v>0</v>
      </c>
      <c r="AH667" s="120" t="s">
        <v>207</v>
      </c>
      <c r="AI667" s="120">
        <v>0</v>
      </c>
      <c r="AJ667" s="120" t="s">
        <v>207</v>
      </c>
      <c r="AK667" s="120">
        <v>0</v>
      </c>
      <c r="AL667" s="120" t="s">
        <v>207</v>
      </c>
      <c r="AM667" s="117">
        <f t="shared" si="18"/>
        <v>1284</v>
      </c>
    </row>
    <row r="668" spans="1:39" s="90" customFormat="1" ht="18" customHeight="1" x14ac:dyDescent="0.3">
      <c r="A668" s="297">
        <v>383</v>
      </c>
      <c r="B668" s="11" t="s">
        <v>1075</v>
      </c>
      <c r="C668" s="84" t="s">
        <v>268</v>
      </c>
      <c r="D668" s="88" t="s">
        <v>958</v>
      </c>
      <c r="E668" s="31" t="s">
        <v>48</v>
      </c>
      <c r="F668" s="85" t="s">
        <v>49</v>
      </c>
      <c r="G668" s="375"/>
      <c r="H668" s="365">
        <v>48</v>
      </c>
      <c r="I668" s="379"/>
      <c r="J668" s="365">
        <v>6</v>
      </c>
      <c r="K668" s="120"/>
      <c r="L668" s="120"/>
      <c r="M668" s="120">
        <v>9174</v>
      </c>
      <c r="N668" s="120">
        <v>11167</v>
      </c>
      <c r="O668" s="120">
        <v>1296</v>
      </c>
      <c r="P668" s="120" t="s">
        <v>207</v>
      </c>
      <c r="Q668" s="120">
        <v>917</v>
      </c>
      <c r="R668" s="120" t="s">
        <v>207</v>
      </c>
      <c r="S668" s="120">
        <v>840</v>
      </c>
      <c r="T668" s="120" t="s">
        <v>207</v>
      </c>
      <c r="U668" s="120">
        <v>540</v>
      </c>
      <c r="V668" s="120" t="s">
        <v>207</v>
      </c>
      <c r="W668" s="120">
        <v>505</v>
      </c>
      <c r="X668" s="120" t="s">
        <v>207</v>
      </c>
      <c r="Y668" s="120">
        <v>276</v>
      </c>
      <c r="Z668" s="120" t="s">
        <v>207</v>
      </c>
      <c r="AA668" s="120">
        <v>499</v>
      </c>
      <c r="AB668" s="120" t="s">
        <v>207</v>
      </c>
      <c r="AC668" s="120">
        <v>525</v>
      </c>
      <c r="AD668" s="120" t="s">
        <v>207</v>
      </c>
      <c r="AE668" s="120">
        <v>48</v>
      </c>
      <c r="AF668" s="120" t="s">
        <v>207</v>
      </c>
      <c r="AG668" s="120">
        <v>684</v>
      </c>
      <c r="AH668" s="120" t="s">
        <v>207</v>
      </c>
      <c r="AI668" s="120">
        <v>820</v>
      </c>
      <c r="AJ668" s="120" t="s">
        <v>207</v>
      </c>
      <c r="AK668" s="120">
        <v>1080</v>
      </c>
      <c r="AL668" s="120" t="s">
        <v>207</v>
      </c>
      <c r="AM668" s="117">
        <f t="shared" si="18"/>
        <v>8030</v>
      </c>
    </row>
    <row r="669" spans="1:39" s="90" customFormat="1" ht="18" customHeight="1" x14ac:dyDescent="0.3">
      <c r="A669" s="114">
        <v>384</v>
      </c>
      <c r="B669" s="11" t="s">
        <v>1076</v>
      </c>
      <c r="C669" s="84" t="s">
        <v>268</v>
      </c>
      <c r="D669" s="88" t="s">
        <v>958</v>
      </c>
      <c r="E669" s="31" t="s">
        <v>48</v>
      </c>
      <c r="F669" s="85" t="s">
        <v>49</v>
      </c>
      <c r="G669" s="375"/>
      <c r="H669" s="365">
        <v>12</v>
      </c>
      <c r="I669" s="379"/>
      <c r="J669" s="365">
        <v>1</v>
      </c>
      <c r="K669" s="120"/>
      <c r="L669" s="120"/>
      <c r="M669" s="120">
        <v>12390</v>
      </c>
      <c r="N669" s="120">
        <v>8791</v>
      </c>
      <c r="O669" s="120">
        <v>1348</v>
      </c>
      <c r="P669" s="120" t="s">
        <v>207</v>
      </c>
      <c r="Q669" s="120">
        <v>882</v>
      </c>
      <c r="R669" s="120" t="s">
        <v>207</v>
      </c>
      <c r="S669" s="120">
        <v>746</v>
      </c>
      <c r="T669" s="120" t="s">
        <v>207</v>
      </c>
      <c r="U669" s="120">
        <v>865</v>
      </c>
      <c r="V669" s="120" t="s">
        <v>207</v>
      </c>
      <c r="W669" s="120">
        <v>708</v>
      </c>
      <c r="X669" s="120" t="s">
        <v>207</v>
      </c>
      <c r="Y669" s="120">
        <v>629</v>
      </c>
      <c r="Z669" s="120" t="s">
        <v>207</v>
      </c>
      <c r="AA669" s="120">
        <v>727</v>
      </c>
      <c r="AB669" s="120" t="s">
        <v>207</v>
      </c>
      <c r="AC669" s="120">
        <v>682</v>
      </c>
      <c r="AD669" s="120" t="s">
        <v>207</v>
      </c>
      <c r="AE669" s="120">
        <v>586</v>
      </c>
      <c r="AF669" s="120" t="s">
        <v>207</v>
      </c>
      <c r="AG669" s="120">
        <v>578</v>
      </c>
      <c r="AH669" s="120" t="s">
        <v>207</v>
      </c>
      <c r="AI669" s="120">
        <v>777</v>
      </c>
      <c r="AJ669" s="120" t="s">
        <v>207</v>
      </c>
      <c r="AK669" s="120">
        <v>874</v>
      </c>
      <c r="AL669" s="120" t="s">
        <v>207</v>
      </c>
      <c r="AM669" s="117">
        <f t="shared" si="18"/>
        <v>9402</v>
      </c>
    </row>
    <row r="670" spans="1:39" s="90" customFormat="1" ht="18" customHeight="1" x14ac:dyDescent="0.3">
      <c r="A670" s="114">
        <v>385</v>
      </c>
      <c r="B670" s="11" t="s">
        <v>1077</v>
      </c>
      <c r="C670" s="84" t="s">
        <v>268</v>
      </c>
      <c r="D670" s="88" t="s">
        <v>958</v>
      </c>
      <c r="E670" s="31" t="s">
        <v>48</v>
      </c>
      <c r="F670" s="85" t="s">
        <v>49</v>
      </c>
      <c r="G670" s="375"/>
      <c r="H670" s="365">
        <v>12</v>
      </c>
      <c r="I670" s="379"/>
      <c r="J670" s="365">
        <v>1</v>
      </c>
      <c r="K670" s="120"/>
      <c r="L670" s="120"/>
      <c r="M670" s="120">
        <v>8993</v>
      </c>
      <c r="N670" s="120">
        <v>7702</v>
      </c>
      <c r="O670" s="120">
        <v>736</v>
      </c>
      <c r="P670" s="120" t="s">
        <v>207</v>
      </c>
      <c r="Q670" s="120">
        <v>643</v>
      </c>
      <c r="R670" s="120" t="s">
        <v>207</v>
      </c>
      <c r="S670" s="120">
        <v>750</v>
      </c>
      <c r="T670" s="120" t="s">
        <v>207</v>
      </c>
      <c r="U670" s="120">
        <v>581</v>
      </c>
      <c r="V670" s="120" t="s">
        <v>207</v>
      </c>
      <c r="W670" s="120">
        <v>480</v>
      </c>
      <c r="X670" s="120" t="s">
        <v>207</v>
      </c>
      <c r="Y670" s="120">
        <v>442</v>
      </c>
      <c r="Z670" s="120" t="s">
        <v>207</v>
      </c>
      <c r="AA670" s="120">
        <v>526</v>
      </c>
      <c r="AB670" s="120" t="s">
        <v>207</v>
      </c>
      <c r="AC670" s="120">
        <v>482</v>
      </c>
      <c r="AD670" s="120" t="s">
        <v>207</v>
      </c>
      <c r="AE670" s="120">
        <v>504</v>
      </c>
      <c r="AF670" s="120" t="s">
        <v>207</v>
      </c>
      <c r="AG670" s="120">
        <v>541</v>
      </c>
      <c r="AH670" s="120" t="s">
        <v>207</v>
      </c>
      <c r="AI670" s="120">
        <v>603</v>
      </c>
      <c r="AJ670" s="120" t="s">
        <v>207</v>
      </c>
      <c r="AK670" s="120">
        <v>613</v>
      </c>
      <c r="AL670" s="120" t="s">
        <v>207</v>
      </c>
      <c r="AM670" s="117">
        <f t="shared" si="18"/>
        <v>6901</v>
      </c>
    </row>
    <row r="671" spans="1:39" s="90" customFormat="1" ht="18" customHeight="1" x14ac:dyDescent="0.3">
      <c r="A671" s="297">
        <v>386</v>
      </c>
      <c r="B671" s="11" t="s">
        <v>1078</v>
      </c>
      <c r="C671" s="84" t="s">
        <v>268</v>
      </c>
      <c r="D671" s="88" t="s">
        <v>958</v>
      </c>
      <c r="E671" s="31" t="s">
        <v>48</v>
      </c>
      <c r="F671" s="85" t="s">
        <v>49</v>
      </c>
      <c r="G671" s="375"/>
      <c r="H671" s="365">
        <v>14</v>
      </c>
      <c r="I671" s="379"/>
      <c r="J671" s="365">
        <v>2</v>
      </c>
      <c r="K671" s="120"/>
      <c r="L671" s="120"/>
      <c r="M671" s="120">
        <v>53485</v>
      </c>
      <c r="N671" s="120">
        <v>30062</v>
      </c>
      <c r="O671" s="120">
        <v>3959</v>
      </c>
      <c r="P671" s="120" t="s">
        <v>207</v>
      </c>
      <c r="Q671" s="120">
        <v>3519</v>
      </c>
      <c r="R671" s="120" t="s">
        <v>207</v>
      </c>
      <c r="S671" s="120">
        <v>3451</v>
      </c>
      <c r="T671" s="120" t="s">
        <v>207</v>
      </c>
      <c r="U671" s="120">
        <v>2757</v>
      </c>
      <c r="V671" s="120" t="s">
        <v>207</v>
      </c>
      <c r="W671" s="120">
        <v>1942</v>
      </c>
      <c r="X671" s="120" t="s">
        <v>207</v>
      </c>
      <c r="Y671" s="120">
        <v>2059</v>
      </c>
      <c r="Z671" s="120" t="s">
        <v>207</v>
      </c>
      <c r="AA671" s="120">
        <v>2154</v>
      </c>
      <c r="AB671" s="120" t="s">
        <v>207</v>
      </c>
      <c r="AC671" s="120">
        <v>1812</v>
      </c>
      <c r="AD671" s="120" t="s">
        <v>207</v>
      </c>
      <c r="AE671" s="120">
        <v>2241</v>
      </c>
      <c r="AF671" s="120" t="s">
        <v>207</v>
      </c>
      <c r="AG671" s="120">
        <v>2259</v>
      </c>
      <c r="AH671" s="120" t="s">
        <v>207</v>
      </c>
      <c r="AI671" s="120">
        <v>3358</v>
      </c>
      <c r="AJ671" s="120" t="s">
        <v>207</v>
      </c>
      <c r="AK671" s="120">
        <v>3366</v>
      </c>
      <c r="AL671" s="120" t="s">
        <v>207</v>
      </c>
      <c r="AM671" s="117">
        <f t="shared" si="18"/>
        <v>32877</v>
      </c>
    </row>
    <row r="672" spans="1:39" s="90" customFormat="1" ht="18" customHeight="1" x14ac:dyDescent="0.3">
      <c r="A672" s="114">
        <v>387</v>
      </c>
      <c r="B672" s="11" t="s">
        <v>1079</v>
      </c>
      <c r="C672" s="84" t="s">
        <v>268</v>
      </c>
      <c r="D672" s="88" t="s">
        <v>958</v>
      </c>
      <c r="E672" s="31" t="s">
        <v>48</v>
      </c>
      <c r="F672" s="85" t="s">
        <v>49</v>
      </c>
      <c r="G672" s="375"/>
      <c r="H672" s="365">
        <v>15</v>
      </c>
      <c r="I672" s="379"/>
      <c r="J672" s="365">
        <v>3</v>
      </c>
      <c r="K672" s="120"/>
      <c r="L672" s="120"/>
      <c r="M672" s="120">
        <v>24233</v>
      </c>
      <c r="N672" s="120">
        <v>10601</v>
      </c>
      <c r="O672" s="120">
        <v>1466</v>
      </c>
      <c r="P672" s="120" t="s">
        <v>207</v>
      </c>
      <c r="Q672" s="120">
        <v>1183</v>
      </c>
      <c r="R672" s="120" t="s">
        <v>207</v>
      </c>
      <c r="S672" s="120">
        <v>876</v>
      </c>
      <c r="T672" s="120" t="s">
        <v>207</v>
      </c>
      <c r="U672" s="120">
        <v>572</v>
      </c>
      <c r="V672" s="120" t="s">
        <v>207</v>
      </c>
      <c r="W672" s="120">
        <v>503</v>
      </c>
      <c r="X672" s="120" t="s">
        <v>207</v>
      </c>
      <c r="Y672" s="120">
        <v>1039</v>
      </c>
      <c r="Z672" s="120" t="s">
        <v>207</v>
      </c>
      <c r="AA672" s="120">
        <v>468</v>
      </c>
      <c r="AB672" s="120" t="s">
        <v>207</v>
      </c>
      <c r="AC672" s="120">
        <v>396</v>
      </c>
      <c r="AD672" s="120" t="s">
        <v>207</v>
      </c>
      <c r="AE672" s="120">
        <v>517</v>
      </c>
      <c r="AF672" s="120" t="s">
        <v>207</v>
      </c>
      <c r="AG672" s="120">
        <v>779</v>
      </c>
      <c r="AH672" s="120" t="s">
        <v>207</v>
      </c>
      <c r="AI672" s="120">
        <v>1075</v>
      </c>
      <c r="AJ672" s="120" t="s">
        <v>207</v>
      </c>
      <c r="AK672" s="120">
        <v>1364</v>
      </c>
      <c r="AL672" s="120" t="s">
        <v>207</v>
      </c>
      <c r="AM672" s="117">
        <f t="shared" si="18"/>
        <v>10238</v>
      </c>
    </row>
    <row r="673" spans="1:39" s="90" customFormat="1" ht="18" customHeight="1" x14ac:dyDescent="0.3">
      <c r="A673" s="114">
        <v>388</v>
      </c>
      <c r="B673" s="11" t="s">
        <v>1080</v>
      </c>
      <c r="C673" s="84" t="s">
        <v>268</v>
      </c>
      <c r="D673" s="88" t="s">
        <v>958</v>
      </c>
      <c r="E673" s="31" t="s">
        <v>48</v>
      </c>
      <c r="F673" s="85" t="s">
        <v>49</v>
      </c>
      <c r="G673" s="375"/>
      <c r="H673" s="365">
        <v>48</v>
      </c>
      <c r="I673" s="379"/>
      <c r="J673" s="365">
        <v>6</v>
      </c>
      <c r="K673" s="120"/>
      <c r="L673" s="120"/>
      <c r="M673" s="120"/>
      <c r="N673" s="120">
        <v>4793</v>
      </c>
      <c r="O673" s="120"/>
      <c r="P673" s="120" t="s">
        <v>207</v>
      </c>
      <c r="Q673" s="120"/>
      <c r="R673" s="120" t="s">
        <v>207</v>
      </c>
      <c r="S673" s="120"/>
      <c r="T673" s="120" t="s">
        <v>207</v>
      </c>
      <c r="U673" s="120"/>
      <c r="V673" s="120" t="s">
        <v>207</v>
      </c>
      <c r="W673" s="120"/>
      <c r="X673" s="120" t="s">
        <v>207</v>
      </c>
      <c r="Y673" s="120"/>
      <c r="Z673" s="120" t="s">
        <v>207</v>
      </c>
      <c r="AA673" s="120"/>
      <c r="AB673" s="120" t="s">
        <v>207</v>
      </c>
      <c r="AC673" s="120"/>
      <c r="AD673" s="120" t="s">
        <v>207</v>
      </c>
      <c r="AE673" s="120"/>
      <c r="AF673" s="120" t="s">
        <v>207</v>
      </c>
      <c r="AG673" s="120"/>
      <c r="AH673" s="120" t="s">
        <v>207</v>
      </c>
      <c r="AI673" s="120"/>
      <c r="AJ673" s="120" t="s">
        <v>207</v>
      </c>
      <c r="AK673" s="120"/>
      <c r="AL673" s="120" t="s">
        <v>207</v>
      </c>
      <c r="AM673" s="117">
        <f t="shared" si="18"/>
        <v>0</v>
      </c>
    </row>
    <row r="674" spans="1:39" s="90" customFormat="1" ht="18" customHeight="1" x14ac:dyDescent="0.3">
      <c r="A674" s="297">
        <v>389</v>
      </c>
      <c r="B674" s="11" t="s">
        <v>1081</v>
      </c>
      <c r="C674" s="84" t="s">
        <v>268</v>
      </c>
      <c r="D674" s="88" t="s">
        <v>958</v>
      </c>
      <c r="E674" s="31" t="s">
        <v>48</v>
      </c>
      <c r="F674" s="85" t="s">
        <v>49</v>
      </c>
      <c r="G674" s="375"/>
      <c r="H674" s="365">
        <v>48</v>
      </c>
      <c r="I674" s="379"/>
      <c r="J674" s="365">
        <v>6</v>
      </c>
      <c r="K674" s="120"/>
      <c r="L674" s="120"/>
      <c r="M674" s="120"/>
      <c r="N674" s="120">
        <v>7984</v>
      </c>
      <c r="O674" s="120"/>
      <c r="P674" s="120" t="s">
        <v>207</v>
      </c>
      <c r="Q674" s="120"/>
      <c r="R674" s="120" t="s">
        <v>207</v>
      </c>
      <c r="S674" s="120"/>
      <c r="T674" s="120" t="s">
        <v>207</v>
      </c>
      <c r="U674" s="120"/>
      <c r="V674" s="120" t="s">
        <v>207</v>
      </c>
      <c r="W674" s="120"/>
      <c r="X674" s="120" t="s">
        <v>207</v>
      </c>
      <c r="Y674" s="120"/>
      <c r="Z674" s="120" t="s">
        <v>207</v>
      </c>
      <c r="AA674" s="120"/>
      <c r="AB674" s="120" t="s">
        <v>207</v>
      </c>
      <c r="AC674" s="120"/>
      <c r="AD674" s="120" t="s">
        <v>207</v>
      </c>
      <c r="AE674" s="120"/>
      <c r="AF674" s="120" t="s">
        <v>207</v>
      </c>
      <c r="AG674" s="120"/>
      <c r="AH674" s="120" t="s">
        <v>207</v>
      </c>
      <c r="AI674" s="120"/>
      <c r="AJ674" s="120" t="s">
        <v>207</v>
      </c>
      <c r="AK674" s="120"/>
      <c r="AL674" s="120" t="s">
        <v>207</v>
      </c>
      <c r="AM674" s="117">
        <f t="shared" si="18"/>
        <v>0</v>
      </c>
    </row>
    <row r="675" spans="1:39" s="90" customFormat="1" ht="18" customHeight="1" x14ac:dyDescent="0.3">
      <c r="A675" s="114">
        <v>390</v>
      </c>
      <c r="B675" s="11" t="s">
        <v>1082</v>
      </c>
      <c r="C675" s="84" t="s">
        <v>268</v>
      </c>
      <c r="D675" s="88" t="s">
        <v>958</v>
      </c>
      <c r="E675" s="31" t="s">
        <v>48</v>
      </c>
      <c r="F675" s="85" t="s">
        <v>49</v>
      </c>
      <c r="G675" s="375"/>
      <c r="H675" s="365">
        <v>48</v>
      </c>
      <c r="I675" s="379"/>
      <c r="J675" s="365">
        <v>6</v>
      </c>
      <c r="K675" s="120"/>
      <c r="L675" s="120"/>
      <c r="M675" s="120"/>
      <c r="N675" s="120">
        <v>7252</v>
      </c>
      <c r="O675" s="120"/>
      <c r="P675" s="120" t="s">
        <v>207</v>
      </c>
      <c r="Q675" s="120"/>
      <c r="R675" s="120" t="s">
        <v>207</v>
      </c>
      <c r="S675" s="120"/>
      <c r="T675" s="120" t="s">
        <v>207</v>
      </c>
      <c r="U675" s="120"/>
      <c r="V675" s="120" t="s">
        <v>207</v>
      </c>
      <c r="W675" s="120"/>
      <c r="X675" s="120" t="s">
        <v>207</v>
      </c>
      <c r="Y675" s="120"/>
      <c r="Z675" s="120" t="s">
        <v>207</v>
      </c>
      <c r="AA675" s="120"/>
      <c r="AB675" s="120" t="s">
        <v>207</v>
      </c>
      <c r="AC675" s="120"/>
      <c r="AD675" s="120" t="s">
        <v>207</v>
      </c>
      <c r="AE675" s="120"/>
      <c r="AF675" s="120" t="s">
        <v>207</v>
      </c>
      <c r="AG675" s="120"/>
      <c r="AH675" s="120" t="s">
        <v>207</v>
      </c>
      <c r="AI675" s="120"/>
      <c r="AJ675" s="120" t="s">
        <v>207</v>
      </c>
      <c r="AK675" s="120"/>
      <c r="AL675" s="120" t="s">
        <v>207</v>
      </c>
      <c r="AM675" s="117">
        <f t="shared" si="18"/>
        <v>0</v>
      </c>
    </row>
    <row r="676" spans="1:39" s="90" customFormat="1" ht="18" customHeight="1" x14ac:dyDescent="0.3">
      <c r="A676" s="114">
        <v>391</v>
      </c>
      <c r="B676" s="11" t="s">
        <v>1083</v>
      </c>
      <c r="C676" s="84" t="s">
        <v>268</v>
      </c>
      <c r="D676" s="88" t="s">
        <v>958</v>
      </c>
      <c r="E676" s="31" t="s">
        <v>48</v>
      </c>
      <c r="F676" s="85" t="s">
        <v>49</v>
      </c>
      <c r="G676" s="375"/>
      <c r="H676" s="365">
        <v>54</v>
      </c>
      <c r="I676" s="379"/>
      <c r="J676" s="365">
        <v>7</v>
      </c>
      <c r="K676" s="120"/>
      <c r="L676" s="120"/>
      <c r="M676" s="120">
        <v>8578</v>
      </c>
      <c r="N676" s="120">
        <v>6526</v>
      </c>
      <c r="O676" s="120">
        <v>1083</v>
      </c>
      <c r="P676" s="120" t="s">
        <v>207</v>
      </c>
      <c r="Q676" s="120">
        <v>704</v>
      </c>
      <c r="R676" s="120" t="s">
        <v>207</v>
      </c>
      <c r="S676" s="120">
        <v>1009</v>
      </c>
      <c r="T676" s="120" t="s">
        <v>207</v>
      </c>
      <c r="U676" s="120">
        <v>518</v>
      </c>
      <c r="V676" s="120" t="s">
        <v>207</v>
      </c>
      <c r="W676" s="120">
        <v>523</v>
      </c>
      <c r="X676" s="120" t="s">
        <v>207</v>
      </c>
      <c r="Y676" s="120">
        <v>516</v>
      </c>
      <c r="Z676" s="120" t="s">
        <v>207</v>
      </c>
      <c r="AA676" s="120">
        <v>422</v>
      </c>
      <c r="AB676" s="120" t="s">
        <v>207</v>
      </c>
      <c r="AC676" s="120">
        <v>379</v>
      </c>
      <c r="AD676" s="120" t="s">
        <v>207</v>
      </c>
      <c r="AE676" s="120">
        <v>705</v>
      </c>
      <c r="AF676" s="120" t="s">
        <v>207</v>
      </c>
      <c r="AG676" s="120">
        <v>847</v>
      </c>
      <c r="AH676" s="120" t="s">
        <v>207</v>
      </c>
      <c r="AI676" s="120">
        <v>890</v>
      </c>
      <c r="AJ676" s="120" t="s">
        <v>207</v>
      </c>
      <c r="AK676" s="120">
        <v>1142</v>
      </c>
      <c r="AL676" s="120" t="s">
        <v>207</v>
      </c>
      <c r="AM676" s="117">
        <f t="shared" si="18"/>
        <v>8738</v>
      </c>
    </row>
    <row r="677" spans="1:39" s="90" customFormat="1" ht="18" customHeight="1" x14ac:dyDescent="0.3">
      <c r="A677" s="297">
        <v>392</v>
      </c>
      <c r="B677" s="11" t="s">
        <v>1084</v>
      </c>
      <c r="C677" s="84" t="s">
        <v>268</v>
      </c>
      <c r="D677" s="88" t="s">
        <v>958</v>
      </c>
      <c r="E677" s="31" t="s">
        <v>48</v>
      </c>
      <c r="F677" s="85" t="s">
        <v>49</v>
      </c>
      <c r="G677" s="375"/>
      <c r="H677" s="365">
        <v>38</v>
      </c>
      <c r="I677" s="379"/>
      <c r="J677" s="365">
        <v>6</v>
      </c>
      <c r="K677" s="120"/>
      <c r="L677" s="120"/>
      <c r="M677" s="120">
        <v>7762</v>
      </c>
      <c r="N677" s="120">
        <v>6901</v>
      </c>
      <c r="O677" s="120">
        <v>1007</v>
      </c>
      <c r="P677" s="120" t="s">
        <v>207</v>
      </c>
      <c r="Q677" s="120">
        <v>699</v>
      </c>
      <c r="R677" s="120" t="s">
        <v>207</v>
      </c>
      <c r="S677" s="120">
        <v>938</v>
      </c>
      <c r="T677" s="120" t="s">
        <v>207</v>
      </c>
      <c r="U677" s="120">
        <v>443</v>
      </c>
      <c r="V677" s="120" t="s">
        <v>207</v>
      </c>
      <c r="W677" s="120">
        <v>360</v>
      </c>
      <c r="X677" s="120" t="s">
        <v>207</v>
      </c>
      <c r="Y677" s="120">
        <v>278</v>
      </c>
      <c r="Z677" s="120" t="s">
        <v>207</v>
      </c>
      <c r="AA677" s="120">
        <v>420</v>
      </c>
      <c r="AB677" s="120" t="s">
        <v>207</v>
      </c>
      <c r="AC677" s="120">
        <v>225</v>
      </c>
      <c r="AD677" s="120" t="s">
        <v>207</v>
      </c>
      <c r="AE677" s="120">
        <v>605</v>
      </c>
      <c r="AF677" s="120" t="s">
        <v>207</v>
      </c>
      <c r="AG677" s="120">
        <v>866</v>
      </c>
      <c r="AH677" s="120" t="s">
        <v>207</v>
      </c>
      <c r="AI677" s="120">
        <v>797</v>
      </c>
      <c r="AJ677" s="120" t="s">
        <v>207</v>
      </c>
      <c r="AK677" s="120">
        <v>1080</v>
      </c>
      <c r="AL677" s="120" t="s">
        <v>207</v>
      </c>
      <c r="AM677" s="117">
        <f t="shared" si="18"/>
        <v>7718</v>
      </c>
    </row>
    <row r="678" spans="1:39" s="90" customFormat="1" ht="18" customHeight="1" x14ac:dyDescent="0.3">
      <c r="A678" s="114">
        <v>393</v>
      </c>
      <c r="B678" s="11" t="s">
        <v>1085</v>
      </c>
      <c r="C678" s="84" t="s">
        <v>268</v>
      </c>
      <c r="D678" s="88" t="s">
        <v>958</v>
      </c>
      <c r="E678" s="31" t="s">
        <v>48</v>
      </c>
      <c r="F678" s="85" t="s">
        <v>49</v>
      </c>
      <c r="G678" s="375"/>
      <c r="H678" s="365">
        <v>14</v>
      </c>
      <c r="I678" s="379"/>
      <c r="J678" s="365">
        <v>5</v>
      </c>
      <c r="K678" s="120"/>
      <c r="L678" s="120"/>
      <c r="M678" s="120">
        <v>7361</v>
      </c>
      <c r="N678" s="120">
        <v>7576</v>
      </c>
      <c r="O678" s="120">
        <v>914</v>
      </c>
      <c r="P678" s="120" t="s">
        <v>207</v>
      </c>
      <c r="Q678" s="120">
        <v>772</v>
      </c>
      <c r="R678" s="120" t="s">
        <v>207</v>
      </c>
      <c r="S678" s="120">
        <v>725</v>
      </c>
      <c r="T678" s="120" t="s">
        <v>207</v>
      </c>
      <c r="U678" s="120">
        <v>541</v>
      </c>
      <c r="V678" s="120" t="s">
        <v>207</v>
      </c>
      <c r="W678" s="120">
        <v>509</v>
      </c>
      <c r="X678" s="120" t="s">
        <v>207</v>
      </c>
      <c r="Y678" s="120">
        <v>439</v>
      </c>
      <c r="Z678" s="120" t="s">
        <v>207</v>
      </c>
      <c r="AA678" s="120">
        <v>524</v>
      </c>
      <c r="AB678" s="120" t="s">
        <v>207</v>
      </c>
      <c r="AC678" s="120">
        <v>288</v>
      </c>
      <c r="AD678" s="120" t="s">
        <v>207</v>
      </c>
      <c r="AE678" s="120">
        <v>497</v>
      </c>
      <c r="AF678" s="120" t="s">
        <v>207</v>
      </c>
      <c r="AG678" s="120">
        <v>665</v>
      </c>
      <c r="AH678" s="120" t="s">
        <v>207</v>
      </c>
      <c r="AI678" s="120">
        <v>715</v>
      </c>
      <c r="AJ678" s="120" t="s">
        <v>207</v>
      </c>
      <c r="AK678" s="120">
        <v>990</v>
      </c>
      <c r="AL678" s="120" t="s">
        <v>207</v>
      </c>
      <c r="AM678" s="117">
        <f t="shared" si="18"/>
        <v>7579</v>
      </c>
    </row>
    <row r="679" spans="1:39" s="90" customFormat="1" ht="18" customHeight="1" x14ac:dyDescent="0.3">
      <c r="A679" s="114">
        <v>394</v>
      </c>
      <c r="B679" s="11" t="s">
        <v>1086</v>
      </c>
      <c r="C679" s="84" t="s">
        <v>268</v>
      </c>
      <c r="D679" s="88" t="s">
        <v>958</v>
      </c>
      <c r="E679" s="31" t="s">
        <v>48</v>
      </c>
      <c r="F679" s="85" t="s">
        <v>49</v>
      </c>
      <c r="G679" s="375"/>
      <c r="H679" s="365">
        <v>29</v>
      </c>
      <c r="I679" s="379"/>
      <c r="J679" s="365">
        <v>3</v>
      </c>
      <c r="K679" s="120"/>
      <c r="L679" s="120"/>
      <c r="M679" s="120"/>
      <c r="N679" s="120">
        <v>9752</v>
      </c>
      <c r="O679" s="120"/>
      <c r="P679" s="120" t="s">
        <v>207</v>
      </c>
      <c r="Q679" s="120"/>
      <c r="R679" s="120" t="s">
        <v>207</v>
      </c>
      <c r="S679" s="120"/>
      <c r="T679" s="120" t="s">
        <v>207</v>
      </c>
      <c r="U679" s="120"/>
      <c r="V679" s="120" t="s">
        <v>207</v>
      </c>
      <c r="W679" s="120"/>
      <c r="X679" s="120" t="s">
        <v>207</v>
      </c>
      <c r="Y679" s="120"/>
      <c r="Z679" s="120" t="s">
        <v>207</v>
      </c>
      <c r="AA679" s="120"/>
      <c r="AB679" s="120" t="s">
        <v>207</v>
      </c>
      <c r="AC679" s="120"/>
      <c r="AD679" s="120" t="s">
        <v>207</v>
      </c>
      <c r="AE679" s="120"/>
      <c r="AF679" s="120" t="s">
        <v>207</v>
      </c>
      <c r="AG679" s="120"/>
      <c r="AH679" s="120" t="s">
        <v>207</v>
      </c>
      <c r="AI679" s="120"/>
      <c r="AJ679" s="120" t="s">
        <v>207</v>
      </c>
      <c r="AK679" s="120"/>
      <c r="AL679" s="120" t="s">
        <v>207</v>
      </c>
      <c r="AM679" s="117">
        <f t="shared" si="18"/>
        <v>0</v>
      </c>
    </row>
    <row r="680" spans="1:39" s="90" customFormat="1" ht="18" customHeight="1" x14ac:dyDescent="0.3">
      <c r="A680" s="297">
        <v>395</v>
      </c>
      <c r="B680" s="11" t="s">
        <v>1087</v>
      </c>
      <c r="C680" s="84" t="s">
        <v>268</v>
      </c>
      <c r="D680" s="88" t="s">
        <v>958</v>
      </c>
      <c r="E680" s="31" t="s">
        <v>48</v>
      </c>
      <c r="F680" s="85" t="s">
        <v>49</v>
      </c>
      <c r="G680" s="375"/>
      <c r="H680" s="365">
        <v>24</v>
      </c>
      <c r="I680" s="379"/>
      <c r="J680" s="365">
        <v>3</v>
      </c>
      <c r="K680" s="120"/>
      <c r="L680" s="120"/>
      <c r="M680" s="120"/>
      <c r="N680" s="120">
        <v>6401</v>
      </c>
      <c r="O680" s="120"/>
      <c r="P680" s="120" t="s">
        <v>207</v>
      </c>
      <c r="Q680" s="120"/>
      <c r="R680" s="120" t="s">
        <v>207</v>
      </c>
      <c r="S680" s="120"/>
      <c r="T680" s="120" t="s">
        <v>207</v>
      </c>
      <c r="U680" s="120"/>
      <c r="V680" s="120" t="s">
        <v>207</v>
      </c>
      <c r="W680" s="120"/>
      <c r="X680" s="120" t="s">
        <v>207</v>
      </c>
      <c r="Y680" s="120"/>
      <c r="Z680" s="120" t="s">
        <v>207</v>
      </c>
      <c r="AA680" s="120"/>
      <c r="AB680" s="120" t="s">
        <v>207</v>
      </c>
      <c r="AC680" s="120"/>
      <c r="AD680" s="120" t="s">
        <v>207</v>
      </c>
      <c r="AE680" s="120"/>
      <c r="AF680" s="120" t="s">
        <v>207</v>
      </c>
      <c r="AG680" s="120"/>
      <c r="AH680" s="120" t="s">
        <v>207</v>
      </c>
      <c r="AI680" s="120"/>
      <c r="AJ680" s="120" t="s">
        <v>207</v>
      </c>
      <c r="AK680" s="120"/>
      <c r="AL680" s="120" t="s">
        <v>207</v>
      </c>
      <c r="AM680" s="117">
        <f t="shared" si="18"/>
        <v>0</v>
      </c>
    </row>
    <row r="681" spans="1:39" s="90" customFormat="1" ht="18" customHeight="1" x14ac:dyDescent="0.3">
      <c r="A681" s="114">
        <v>396</v>
      </c>
      <c r="B681" s="11" t="s">
        <v>1088</v>
      </c>
      <c r="C681" s="84" t="s">
        <v>268</v>
      </c>
      <c r="D681" s="88" t="s">
        <v>958</v>
      </c>
      <c r="E681" s="31" t="s">
        <v>48</v>
      </c>
      <c r="F681" s="85" t="s">
        <v>49</v>
      </c>
      <c r="G681" s="375"/>
      <c r="H681" s="365">
        <v>24</v>
      </c>
      <c r="I681" s="379"/>
      <c r="J681" s="365">
        <v>3</v>
      </c>
      <c r="K681" s="120"/>
      <c r="L681" s="120"/>
      <c r="M681" s="120">
        <v>5212</v>
      </c>
      <c r="N681" s="120">
        <v>4597</v>
      </c>
      <c r="O681" s="120">
        <v>955</v>
      </c>
      <c r="P681" s="120" t="s">
        <v>207</v>
      </c>
      <c r="Q681" s="120">
        <v>552</v>
      </c>
      <c r="R681" s="120" t="s">
        <v>207</v>
      </c>
      <c r="S681" s="120">
        <v>696</v>
      </c>
      <c r="T681" s="120" t="s">
        <v>207</v>
      </c>
      <c r="U681" s="120">
        <v>427</v>
      </c>
      <c r="V681" s="120" t="s">
        <v>207</v>
      </c>
      <c r="W681" s="120">
        <v>401</v>
      </c>
      <c r="X681" s="120" t="s">
        <v>207</v>
      </c>
      <c r="Y681" s="120">
        <v>295</v>
      </c>
      <c r="Z681" s="120" t="s">
        <v>207</v>
      </c>
      <c r="AA681" s="120">
        <v>342</v>
      </c>
      <c r="AB681" s="120" t="s">
        <v>207</v>
      </c>
      <c r="AC681" s="120">
        <v>296</v>
      </c>
      <c r="AD681" s="120" t="s">
        <v>207</v>
      </c>
      <c r="AE681" s="120">
        <v>576</v>
      </c>
      <c r="AF681" s="120" t="s">
        <v>207</v>
      </c>
      <c r="AG681" s="120">
        <v>519</v>
      </c>
      <c r="AH681" s="120" t="s">
        <v>207</v>
      </c>
      <c r="AI681" s="120">
        <v>459</v>
      </c>
      <c r="AJ681" s="120" t="s">
        <v>207</v>
      </c>
      <c r="AK681" s="120">
        <v>621</v>
      </c>
      <c r="AL681" s="120" t="s">
        <v>207</v>
      </c>
      <c r="AM681" s="117">
        <f t="shared" si="18"/>
        <v>6139</v>
      </c>
    </row>
    <row r="682" spans="1:39" s="90" customFormat="1" ht="18" customHeight="1" x14ac:dyDescent="0.3">
      <c r="A682" s="114">
        <v>397</v>
      </c>
      <c r="B682" s="11" t="s">
        <v>1089</v>
      </c>
      <c r="C682" s="84" t="s">
        <v>268</v>
      </c>
      <c r="D682" s="88" t="s">
        <v>958</v>
      </c>
      <c r="E682" s="31" t="s">
        <v>48</v>
      </c>
      <c r="F682" s="85" t="s">
        <v>49</v>
      </c>
      <c r="G682" s="375"/>
      <c r="H682" s="365">
        <v>24</v>
      </c>
      <c r="I682" s="379"/>
      <c r="J682" s="365">
        <v>2</v>
      </c>
      <c r="K682" s="120"/>
      <c r="L682" s="120"/>
      <c r="M682" s="120"/>
      <c r="N682" s="120">
        <v>5188</v>
      </c>
      <c r="O682" s="120"/>
      <c r="P682" s="120" t="s">
        <v>207</v>
      </c>
      <c r="Q682" s="120"/>
      <c r="R682" s="120" t="s">
        <v>207</v>
      </c>
      <c r="S682" s="120"/>
      <c r="T682" s="120" t="s">
        <v>207</v>
      </c>
      <c r="U682" s="120"/>
      <c r="V682" s="120" t="s">
        <v>207</v>
      </c>
      <c r="W682" s="120"/>
      <c r="X682" s="120" t="s">
        <v>207</v>
      </c>
      <c r="Y682" s="120"/>
      <c r="Z682" s="120" t="s">
        <v>207</v>
      </c>
      <c r="AA682" s="120"/>
      <c r="AB682" s="120" t="s">
        <v>207</v>
      </c>
      <c r="AC682" s="120"/>
      <c r="AD682" s="120" t="s">
        <v>207</v>
      </c>
      <c r="AE682" s="120"/>
      <c r="AF682" s="120" t="s">
        <v>207</v>
      </c>
      <c r="AG682" s="120"/>
      <c r="AH682" s="120" t="s">
        <v>207</v>
      </c>
      <c r="AI682" s="120"/>
      <c r="AJ682" s="120" t="s">
        <v>207</v>
      </c>
      <c r="AK682" s="120"/>
      <c r="AL682" s="120" t="s">
        <v>207</v>
      </c>
      <c r="AM682" s="117">
        <f t="shared" si="18"/>
        <v>0</v>
      </c>
    </row>
    <row r="683" spans="1:39" s="90" customFormat="1" ht="18" customHeight="1" x14ac:dyDescent="0.3">
      <c r="A683" s="297">
        <v>398</v>
      </c>
      <c r="B683" s="11" t="s">
        <v>1090</v>
      </c>
      <c r="C683" s="84" t="s">
        <v>268</v>
      </c>
      <c r="D683" s="88" t="s">
        <v>958</v>
      </c>
      <c r="E683" s="31" t="s">
        <v>48</v>
      </c>
      <c r="F683" s="85" t="s">
        <v>49</v>
      </c>
      <c r="G683" s="375"/>
      <c r="H683" s="365">
        <v>25</v>
      </c>
      <c r="I683" s="379"/>
      <c r="J683" s="365">
        <v>3</v>
      </c>
      <c r="K683" s="120"/>
      <c r="L683" s="120"/>
      <c r="M683" s="120">
        <v>183155</v>
      </c>
      <c r="N683" s="120">
        <v>120062</v>
      </c>
      <c r="O683" s="120">
        <v>11186</v>
      </c>
      <c r="P683" s="120" t="s">
        <v>207</v>
      </c>
      <c r="Q683" s="120">
        <v>10356</v>
      </c>
      <c r="R683" s="120" t="s">
        <v>207</v>
      </c>
      <c r="S683" s="120">
        <v>10679</v>
      </c>
      <c r="T683" s="120" t="s">
        <v>207</v>
      </c>
      <c r="U683" s="120">
        <v>10122</v>
      </c>
      <c r="V683" s="120" t="s">
        <v>207</v>
      </c>
      <c r="W683" s="120">
        <v>9172</v>
      </c>
      <c r="X683" s="120" t="s">
        <v>207</v>
      </c>
      <c r="Y683" s="120">
        <v>9741</v>
      </c>
      <c r="Z683" s="120" t="s">
        <v>207</v>
      </c>
      <c r="AA683" s="120">
        <v>9113</v>
      </c>
      <c r="AB683" s="120" t="s">
        <v>207</v>
      </c>
      <c r="AC683" s="120">
        <v>7815</v>
      </c>
      <c r="AD683" s="120" t="s">
        <v>207</v>
      </c>
      <c r="AE683" s="120">
        <v>9810</v>
      </c>
      <c r="AF683" s="120" t="s">
        <v>207</v>
      </c>
      <c r="AG683" s="120">
        <v>10597</v>
      </c>
      <c r="AH683" s="120" t="s">
        <v>207</v>
      </c>
      <c r="AI683" s="120">
        <v>10108</v>
      </c>
      <c r="AJ683" s="120" t="s">
        <v>207</v>
      </c>
      <c r="AK683" s="120">
        <v>13220</v>
      </c>
      <c r="AL683" s="120" t="s">
        <v>207</v>
      </c>
      <c r="AM683" s="117">
        <f t="shared" si="18"/>
        <v>121919</v>
      </c>
    </row>
    <row r="684" spans="1:39" s="90" customFormat="1" ht="18" customHeight="1" x14ac:dyDescent="0.3">
      <c r="A684" s="114">
        <v>399</v>
      </c>
      <c r="B684" s="11" t="s">
        <v>1091</v>
      </c>
      <c r="C684" s="84" t="s">
        <v>268</v>
      </c>
      <c r="D684" s="88" t="s">
        <v>958</v>
      </c>
      <c r="E684" s="31" t="s">
        <v>48</v>
      </c>
      <c r="F684" s="85" t="s">
        <v>49</v>
      </c>
      <c r="G684" s="375"/>
      <c r="H684" s="365">
        <v>26</v>
      </c>
      <c r="I684" s="379"/>
      <c r="J684" s="365">
        <v>3</v>
      </c>
      <c r="K684" s="120"/>
      <c r="L684" s="120"/>
      <c r="M684" s="120"/>
      <c r="N684" s="120">
        <v>9551</v>
      </c>
      <c r="O684" s="120"/>
      <c r="P684" s="120" t="s">
        <v>207</v>
      </c>
      <c r="Q684" s="120"/>
      <c r="R684" s="120" t="s">
        <v>207</v>
      </c>
      <c r="S684" s="120"/>
      <c r="T684" s="120" t="s">
        <v>207</v>
      </c>
      <c r="U684" s="120"/>
      <c r="V684" s="120" t="s">
        <v>207</v>
      </c>
      <c r="W684" s="120"/>
      <c r="X684" s="120" t="s">
        <v>207</v>
      </c>
      <c r="Y684" s="120"/>
      <c r="Z684" s="120" t="s">
        <v>207</v>
      </c>
      <c r="AA684" s="120"/>
      <c r="AB684" s="120" t="s">
        <v>207</v>
      </c>
      <c r="AC684" s="120"/>
      <c r="AD684" s="120" t="s">
        <v>207</v>
      </c>
      <c r="AE684" s="120"/>
      <c r="AF684" s="120" t="s">
        <v>207</v>
      </c>
      <c r="AG684" s="120"/>
      <c r="AH684" s="120" t="s">
        <v>207</v>
      </c>
      <c r="AI684" s="120"/>
      <c r="AJ684" s="120" t="s">
        <v>207</v>
      </c>
      <c r="AK684" s="120"/>
      <c r="AL684" s="120" t="s">
        <v>207</v>
      </c>
      <c r="AM684" s="117">
        <f t="shared" si="18"/>
        <v>0</v>
      </c>
    </row>
    <row r="685" spans="1:39" s="90" customFormat="1" ht="18" customHeight="1" x14ac:dyDescent="0.3">
      <c r="A685" s="114">
        <v>400</v>
      </c>
      <c r="B685" s="11" t="s">
        <v>1092</v>
      </c>
      <c r="C685" s="84" t="s">
        <v>268</v>
      </c>
      <c r="D685" s="88" t="s">
        <v>958</v>
      </c>
      <c r="E685" s="31" t="s">
        <v>48</v>
      </c>
      <c r="F685" s="85" t="s">
        <v>49</v>
      </c>
      <c r="G685" s="375"/>
      <c r="H685" s="365">
        <v>24</v>
      </c>
      <c r="I685" s="379"/>
      <c r="J685" s="365">
        <v>3</v>
      </c>
      <c r="K685" s="120"/>
      <c r="L685" s="120"/>
      <c r="M685" s="120"/>
      <c r="N685" s="120">
        <v>11076</v>
      </c>
      <c r="O685" s="120"/>
      <c r="P685" s="120" t="s">
        <v>207</v>
      </c>
      <c r="Q685" s="120"/>
      <c r="R685" s="120" t="s">
        <v>207</v>
      </c>
      <c r="S685" s="120"/>
      <c r="T685" s="120" t="s">
        <v>207</v>
      </c>
      <c r="U685" s="120"/>
      <c r="V685" s="120" t="s">
        <v>207</v>
      </c>
      <c r="W685" s="120"/>
      <c r="X685" s="120" t="s">
        <v>207</v>
      </c>
      <c r="Y685" s="120"/>
      <c r="Z685" s="120" t="s">
        <v>207</v>
      </c>
      <c r="AA685" s="120"/>
      <c r="AB685" s="120" t="s">
        <v>207</v>
      </c>
      <c r="AC685" s="120"/>
      <c r="AD685" s="120" t="s">
        <v>207</v>
      </c>
      <c r="AE685" s="120"/>
      <c r="AF685" s="120" t="s">
        <v>207</v>
      </c>
      <c r="AG685" s="120"/>
      <c r="AH685" s="120" t="s">
        <v>207</v>
      </c>
      <c r="AI685" s="120"/>
      <c r="AJ685" s="120" t="s">
        <v>207</v>
      </c>
      <c r="AK685" s="120"/>
      <c r="AL685" s="120" t="s">
        <v>207</v>
      </c>
      <c r="AM685" s="117">
        <f t="shared" si="18"/>
        <v>0</v>
      </c>
    </row>
    <row r="686" spans="1:39" s="90" customFormat="1" ht="18" customHeight="1" x14ac:dyDescent="0.3">
      <c r="A686" s="297">
        <v>401</v>
      </c>
      <c r="B686" s="11" t="s">
        <v>1093</v>
      </c>
      <c r="C686" s="84" t="s">
        <v>268</v>
      </c>
      <c r="D686" s="88" t="s">
        <v>958</v>
      </c>
      <c r="E686" s="31" t="s">
        <v>48</v>
      </c>
      <c r="F686" s="85" t="s">
        <v>49</v>
      </c>
      <c r="G686" s="375"/>
      <c r="H686" s="365">
        <v>25</v>
      </c>
      <c r="I686" s="379"/>
      <c r="J686" s="365">
        <v>3</v>
      </c>
      <c r="K686" s="120"/>
      <c r="L686" s="120"/>
      <c r="M686" s="120">
        <v>9517</v>
      </c>
      <c r="N686" s="120"/>
      <c r="O686" s="120">
        <v>629</v>
      </c>
      <c r="P686" s="120" t="s">
        <v>207</v>
      </c>
      <c r="Q686" s="120">
        <v>896</v>
      </c>
      <c r="R686" s="120" t="s">
        <v>207</v>
      </c>
      <c r="S686" s="120">
        <v>736</v>
      </c>
      <c r="T686" s="120" t="s">
        <v>207</v>
      </c>
      <c r="U686" s="120">
        <v>686</v>
      </c>
      <c r="V686" s="120" t="s">
        <v>207</v>
      </c>
      <c r="W686" s="120">
        <v>647</v>
      </c>
      <c r="X686" s="120" t="s">
        <v>207</v>
      </c>
      <c r="Y686" s="120">
        <v>608</v>
      </c>
      <c r="Z686" s="120" t="s">
        <v>207</v>
      </c>
      <c r="AA686" s="120">
        <v>505</v>
      </c>
      <c r="AB686" s="120" t="s">
        <v>207</v>
      </c>
      <c r="AC686" s="120">
        <v>436</v>
      </c>
      <c r="AD686" s="120" t="s">
        <v>207</v>
      </c>
      <c r="AE686" s="120">
        <v>733</v>
      </c>
      <c r="AF686" s="120" t="s">
        <v>207</v>
      </c>
      <c r="AG686" s="120">
        <v>1064</v>
      </c>
      <c r="AH686" s="120" t="s">
        <v>207</v>
      </c>
      <c r="AI686" s="120">
        <v>961</v>
      </c>
      <c r="AJ686" s="120" t="s">
        <v>207</v>
      </c>
      <c r="AK686" s="120">
        <v>1574</v>
      </c>
      <c r="AL686" s="120" t="s">
        <v>207</v>
      </c>
      <c r="AM686" s="117">
        <f t="shared" ref="AM686:AM749" si="19">SUM(O686,Q686,S686,U686,W686,Y686,AA686,AC686,AE686,AG686,AI686,AK686)</f>
        <v>9475</v>
      </c>
    </row>
    <row r="687" spans="1:39" s="90" customFormat="1" ht="18" customHeight="1" x14ac:dyDescent="0.3">
      <c r="A687" s="114">
        <v>402</v>
      </c>
      <c r="B687" s="11" t="s">
        <v>1094</v>
      </c>
      <c r="C687" s="88" t="s">
        <v>579</v>
      </c>
      <c r="D687" s="88" t="s">
        <v>958</v>
      </c>
      <c r="E687" s="31" t="s">
        <v>48</v>
      </c>
      <c r="F687" s="85" t="s">
        <v>49</v>
      </c>
      <c r="G687" s="375"/>
      <c r="H687" s="365">
        <v>18</v>
      </c>
      <c r="I687" s="379"/>
      <c r="J687" s="365">
        <v>3</v>
      </c>
      <c r="K687" s="120"/>
      <c r="L687" s="120"/>
      <c r="M687" s="120">
        <v>69142</v>
      </c>
      <c r="N687" s="120">
        <v>66779</v>
      </c>
      <c r="O687" s="120"/>
      <c r="P687" s="120" t="s">
        <v>207</v>
      </c>
      <c r="Q687" s="120"/>
      <c r="R687" s="120" t="s">
        <v>207</v>
      </c>
      <c r="S687" s="120"/>
      <c r="T687" s="120" t="s">
        <v>207</v>
      </c>
      <c r="U687" s="120"/>
      <c r="V687" s="120" t="s">
        <v>207</v>
      </c>
      <c r="W687" s="120"/>
      <c r="X687" s="120" t="s">
        <v>207</v>
      </c>
      <c r="Y687" s="120"/>
      <c r="Z687" s="120" t="s">
        <v>207</v>
      </c>
      <c r="AA687" s="120"/>
      <c r="AB687" s="120" t="s">
        <v>207</v>
      </c>
      <c r="AC687" s="120"/>
      <c r="AD687" s="120" t="s">
        <v>207</v>
      </c>
      <c r="AE687" s="120"/>
      <c r="AF687" s="120" t="s">
        <v>207</v>
      </c>
      <c r="AG687" s="120"/>
      <c r="AH687" s="120" t="s">
        <v>207</v>
      </c>
      <c r="AI687" s="120"/>
      <c r="AJ687" s="120" t="s">
        <v>207</v>
      </c>
      <c r="AK687" s="120"/>
      <c r="AL687" s="120" t="s">
        <v>207</v>
      </c>
      <c r="AM687" s="117">
        <f t="shared" si="19"/>
        <v>0</v>
      </c>
    </row>
    <row r="688" spans="1:39" s="90" customFormat="1" ht="18" customHeight="1" x14ac:dyDescent="0.3">
      <c r="A688" s="114">
        <v>403</v>
      </c>
      <c r="B688" s="11" t="s">
        <v>1095</v>
      </c>
      <c r="C688" s="88" t="s">
        <v>579</v>
      </c>
      <c r="D688" s="88" t="s">
        <v>958</v>
      </c>
      <c r="E688" s="31" t="s">
        <v>48</v>
      </c>
      <c r="F688" s="85" t="s">
        <v>49</v>
      </c>
      <c r="G688" s="375"/>
      <c r="H688" s="365">
        <v>18</v>
      </c>
      <c r="I688" s="379"/>
      <c r="J688" s="365">
        <v>3</v>
      </c>
      <c r="K688" s="120"/>
      <c r="L688" s="120"/>
      <c r="M688" s="120">
        <v>79145</v>
      </c>
      <c r="N688" s="120">
        <v>71790</v>
      </c>
      <c r="O688" s="120"/>
      <c r="P688" s="120" t="s">
        <v>207</v>
      </c>
      <c r="Q688" s="120"/>
      <c r="R688" s="120" t="s">
        <v>207</v>
      </c>
      <c r="S688" s="120"/>
      <c r="T688" s="120" t="s">
        <v>207</v>
      </c>
      <c r="U688" s="120"/>
      <c r="V688" s="120" t="s">
        <v>207</v>
      </c>
      <c r="W688" s="120"/>
      <c r="X688" s="120" t="s">
        <v>207</v>
      </c>
      <c r="Y688" s="120"/>
      <c r="Z688" s="120" t="s">
        <v>207</v>
      </c>
      <c r="AA688" s="120"/>
      <c r="AB688" s="120" t="s">
        <v>207</v>
      </c>
      <c r="AC688" s="120"/>
      <c r="AD688" s="120" t="s">
        <v>207</v>
      </c>
      <c r="AE688" s="120"/>
      <c r="AF688" s="120" t="s">
        <v>207</v>
      </c>
      <c r="AG688" s="120"/>
      <c r="AH688" s="120" t="s">
        <v>207</v>
      </c>
      <c r="AI688" s="120"/>
      <c r="AJ688" s="120" t="s">
        <v>207</v>
      </c>
      <c r="AK688" s="120"/>
      <c r="AL688" s="120" t="s">
        <v>207</v>
      </c>
      <c r="AM688" s="117">
        <f t="shared" si="19"/>
        <v>0</v>
      </c>
    </row>
    <row r="689" spans="1:39" s="90" customFormat="1" ht="18" customHeight="1" x14ac:dyDescent="0.3">
      <c r="A689" s="297">
        <v>404</v>
      </c>
      <c r="B689" s="11" t="s">
        <v>1096</v>
      </c>
      <c r="C689" s="88" t="s">
        <v>579</v>
      </c>
      <c r="D689" s="88" t="s">
        <v>958</v>
      </c>
      <c r="E689" s="31" t="s">
        <v>48</v>
      </c>
      <c r="F689" s="85" t="s">
        <v>49</v>
      </c>
      <c r="G689" s="375"/>
      <c r="H689" s="365">
        <v>18</v>
      </c>
      <c r="I689" s="379"/>
      <c r="J689" s="365">
        <v>2</v>
      </c>
      <c r="K689" s="120"/>
      <c r="L689" s="120"/>
      <c r="M689" s="120">
        <v>80099</v>
      </c>
      <c r="N689" s="120">
        <v>100607</v>
      </c>
      <c r="O689" s="120"/>
      <c r="P689" s="120" t="s">
        <v>207</v>
      </c>
      <c r="Q689" s="120"/>
      <c r="R689" s="120" t="s">
        <v>207</v>
      </c>
      <c r="S689" s="120"/>
      <c r="T689" s="120" t="s">
        <v>207</v>
      </c>
      <c r="U689" s="120"/>
      <c r="V689" s="120" t="s">
        <v>207</v>
      </c>
      <c r="W689" s="120"/>
      <c r="X689" s="120" t="s">
        <v>207</v>
      </c>
      <c r="Y689" s="120"/>
      <c r="Z689" s="120" t="s">
        <v>207</v>
      </c>
      <c r="AA689" s="120"/>
      <c r="AB689" s="120" t="s">
        <v>207</v>
      </c>
      <c r="AC689" s="120"/>
      <c r="AD689" s="120" t="s">
        <v>207</v>
      </c>
      <c r="AE689" s="120"/>
      <c r="AF689" s="120" t="s">
        <v>207</v>
      </c>
      <c r="AG689" s="120"/>
      <c r="AH689" s="120" t="s">
        <v>207</v>
      </c>
      <c r="AI689" s="120"/>
      <c r="AJ689" s="120" t="s">
        <v>207</v>
      </c>
      <c r="AK689" s="120"/>
      <c r="AL689" s="120" t="s">
        <v>207</v>
      </c>
      <c r="AM689" s="117">
        <f t="shared" si="19"/>
        <v>0</v>
      </c>
    </row>
    <row r="690" spans="1:39" s="90" customFormat="1" ht="18" customHeight="1" x14ac:dyDescent="0.3">
      <c r="A690" s="114">
        <v>405</v>
      </c>
      <c r="B690" s="11" t="s">
        <v>1097</v>
      </c>
      <c r="C690" s="88" t="s">
        <v>579</v>
      </c>
      <c r="D690" s="88" t="s">
        <v>958</v>
      </c>
      <c r="E690" s="31" t="s">
        <v>48</v>
      </c>
      <c r="F690" s="85" t="s">
        <v>49</v>
      </c>
      <c r="G690" s="375"/>
      <c r="H690" s="365">
        <v>19</v>
      </c>
      <c r="I690" s="379"/>
      <c r="J690" s="365">
        <v>1</v>
      </c>
      <c r="K690" s="120"/>
      <c r="L690" s="120"/>
      <c r="M690" s="120"/>
      <c r="N690" s="120">
        <v>38920</v>
      </c>
      <c r="O690" s="120"/>
      <c r="P690" s="120" t="s">
        <v>207</v>
      </c>
      <c r="Q690" s="120"/>
      <c r="R690" s="120" t="s">
        <v>207</v>
      </c>
      <c r="S690" s="120"/>
      <c r="T690" s="120" t="s">
        <v>207</v>
      </c>
      <c r="U690" s="120"/>
      <c r="V690" s="120" t="s">
        <v>207</v>
      </c>
      <c r="W690" s="120"/>
      <c r="X690" s="120" t="s">
        <v>207</v>
      </c>
      <c r="Y690" s="120"/>
      <c r="Z690" s="120" t="s">
        <v>207</v>
      </c>
      <c r="AA690" s="120"/>
      <c r="AB690" s="120" t="s">
        <v>207</v>
      </c>
      <c r="AC690" s="120"/>
      <c r="AD690" s="120" t="s">
        <v>207</v>
      </c>
      <c r="AE690" s="120"/>
      <c r="AF690" s="120" t="s">
        <v>207</v>
      </c>
      <c r="AG690" s="120"/>
      <c r="AH690" s="120" t="s">
        <v>207</v>
      </c>
      <c r="AI690" s="120"/>
      <c r="AJ690" s="120" t="s">
        <v>207</v>
      </c>
      <c r="AK690" s="120"/>
      <c r="AL690" s="120" t="s">
        <v>207</v>
      </c>
      <c r="AM690" s="117">
        <f t="shared" si="19"/>
        <v>0</v>
      </c>
    </row>
    <row r="691" spans="1:39" s="90" customFormat="1" ht="18" customHeight="1" x14ac:dyDescent="0.3">
      <c r="A691" s="114">
        <v>406</v>
      </c>
      <c r="B691" s="11" t="s">
        <v>1098</v>
      </c>
      <c r="C691" s="88" t="s">
        <v>579</v>
      </c>
      <c r="D691" s="88" t="s">
        <v>958</v>
      </c>
      <c r="E691" s="31" t="s">
        <v>48</v>
      </c>
      <c r="F691" s="85" t="s">
        <v>49</v>
      </c>
      <c r="G691" s="375"/>
      <c r="H691" s="365">
        <v>20</v>
      </c>
      <c r="I691" s="379"/>
      <c r="J691" s="365">
        <v>2</v>
      </c>
      <c r="K691" s="120"/>
      <c r="L691" s="120"/>
      <c r="M691" s="120">
        <v>28366</v>
      </c>
      <c r="N691" s="120">
        <v>30697</v>
      </c>
      <c r="O691" s="120"/>
      <c r="P691" s="120" t="s">
        <v>207</v>
      </c>
      <c r="Q691" s="120"/>
      <c r="R691" s="120" t="s">
        <v>207</v>
      </c>
      <c r="S691" s="120"/>
      <c r="T691" s="120" t="s">
        <v>207</v>
      </c>
      <c r="U691" s="120"/>
      <c r="V691" s="120" t="s">
        <v>207</v>
      </c>
      <c r="W691" s="120"/>
      <c r="X691" s="120" t="s">
        <v>207</v>
      </c>
      <c r="Y691" s="120"/>
      <c r="Z691" s="120" t="s">
        <v>207</v>
      </c>
      <c r="AA691" s="120"/>
      <c r="AB691" s="120" t="s">
        <v>207</v>
      </c>
      <c r="AC691" s="120"/>
      <c r="AD691" s="120" t="s">
        <v>207</v>
      </c>
      <c r="AE691" s="120"/>
      <c r="AF691" s="120" t="s">
        <v>207</v>
      </c>
      <c r="AG691" s="120"/>
      <c r="AH691" s="120" t="s">
        <v>207</v>
      </c>
      <c r="AI691" s="120"/>
      <c r="AJ691" s="120" t="s">
        <v>207</v>
      </c>
      <c r="AK691" s="120"/>
      <c r="AL691" s="120" t="s">
        <v>207</v>
      </c>
      <c r="AM691" s="117">
        <f t="shared" si="19"/>
        <v>0</v>
      </c>
    </row>
    <row r="692" spans="1:39" s="90" customFormat="1" ht="18" customHeight="1" x14ac:dyDescent="0.3">
      <c r="A692" s="297">
        <v>407</v>
      </c>
      <c r="B692" s="11" t="s">
        <v>1099</v>
      </c>
      <c r="C692" s="88" t="s">
        <v>579</v>
      </c>
      <c r="D692" s="88" t="s">
        <v>958</v>
      </c>
      <c r="E692" s="31" t="s">
        <v>48</v>
      </c>
      <c r="F692" s="85" t="s">
        <v>49</v>
      </c>
      <c r="G692" s="375"/>
      <c r="H692" s="365">
        <v>21</v>
      </c>
      <c r="I692" s="379"/>
      <c r="J692" s="365">
        <v>3</v>
      </c>
      <c r="K692" s="120"/>
      <c r="L692" s="120"/>
      <c r="M692" s="120">
        <v>79102</v>
      </c>
      <c r="N692" s="120">
        <v>80448</v>
      </c>
      <c r="O692" s="120"/>
      <c r="P692" s="120" t="s">
        <v>207</v>
      </c>
      <c r="Q692" s="120"/>
      <c r="R692" s="120" t="s">
        <v>207</v>
      </c>
      <c r="S692" s="120"/>
      <c r="T692" s="120" t="s">
        <v>207</v>
      </c>
      <c r="U692" s="120"/>
      <c r="V692" s="120" t="s">
        <v>207</v>
      </c>
      <c r="W692" s="120"/>
      <c r="X692" s="120" t="s">
        <v>207</v>
      </c>
      <c r="Y692" s="120"/>
      <c r="Z692" s="120" t="s">
        <v>207</v>
      </c>
      <c r="AA692" s="120"/>
      <c r="AB692" s="120" t="s">
        <v>207</v>
      </c>
      <c r="AC692" s="120"/>
      <c r="AD692" s="120" t="s">
        <v>207</v>
      </c>
      <c r="AE692" s="120"/>
      <c r="AF692" s="120" t="s">
        <v>207</v>
      </c>
      <c r="AG692" s="120"/>
      <c r="AH692" s="120" t="s">
        <v>207</v>
      </c>
      <c r="AI692" s="120"/>
      <c r="AJ692" s="120" t="s">
        <v>207</v>
      </c>
      <c r="AK692" s="120"/>
      <c r="AL692" s="120" t="s">
        <v>207</v>
      </c>
      <c r="AM692" s="117">
        <f t="shared" si="19"/>
        <v>0</v>
      </c>
    </row>
    <row r="693" spans="1:39" s="90" customFormat="1" ht="18" customHeight="1" x14ac:dyDescent="0.3">
      <c r="A693" s="114">
        <v>408</v>
      </c>
      <c r="B693" s="11" t="s">
        <v>1100</v>
      </c>
      <c r="C693" s="88" t="s">
        <v>579</v>
      </c>
      <c r="D693" s="88" t="s">
        <v>958</v>
      </c>
      <c r="E693" s="31" t="s">
        <v>48</v>
      </c>
      <c r="F693" s="85" t="s">
        <v>49</v>
      </c>
      <c r="G693" s="375"/>
      <c r="H693" s="365">
        <v>21</v>
      </c>
      <c r="I693" s="379"/>
      <c r="J693" s="365">
        <v>1</v>
      </c>
      <c r="K693" s="120"/>
      <c r="L693" s="120"/>
      <c r="M693" s="120">
        <v>137813</v>
      </c>
      <c r="N693" s="120">
        <v>153938</v>
      </c>
      <c r="O693" s="120"/>
      <c r="P693" s="120" t="s">
        <v>207</v>
      </c>
      <c r="Q693" s="120"/>
      <c r="R693" s="120" t="s">
        <v>207</v>
      </c>
      <c r="S693" s="120"/>
      <c r="T693" s="120" t="s">
        <v>207</v>
      </c>
      <c r="U693" s="120"/>
      <c r="V693" s="120" t="s">
        <v>207</v>
      </c>
      <c r="W693" s="120"/>
      <c r="X693" s="120" t="s">
        <v>207</v>
      </c>
      <c r="Y693" s="120"/>
      <c r="Z693" s="120" t="s">
        <v>207</v>
      </c>
      <c r="AA693" s="120"/>
      <c r="AB693" s="120" t="s">
        <v>207</v>
      </c>
      <c r="AC693" s="120"/>
      <c r="AD693" s="120" t="s">
        <v>207</v>
      </c>
      <c r="AE693" s="120"/>
      <c r="AF693" s="120" t="s">
        <v>207</v>
      </c>
      <c r="AG693" s="120"/>
      <c r="AH693" s="120" t="s">
        <v>207</v>
      </c>
      <c r="AI693" s="120"/>
      <c r="AJ693" s="120" t="s">
        <v>207</v>
      </c>
      <c r="AK693" s="120"/>
      <c r="AL693" s="120" t="s">
        <v>207</v>
      </c>
      <c r="AM693" s="117">
        <f t="shared" si="19"/>
        <v>0</v>
      </c>
    </row>
    <row r="694" spans="1:39" s="90" customFormat="1" ht="18" customHeight="1" x14ac:dyDescent="0.3">
      <c r="A694" s="114">
        <v>409</v>
      </c>
      <c r="B694" s="11" t="s">
        <v>1101</v>
      </c>
      <c r="C694" s="88" t="s">
        <v>268</v>
      </c>
      <c r="D694" s="88" t="s">
        <v>958</v>
      </c>
      <c r="E694" s="31" t="s">
        <v>48</v>
      </c>
      <c r="F694" s="85" t="s">
        <v>49</v>
      </c>
      <c r="G694" s="375"/>
      <c r="H694" s="365">
        <v>18</v>
      </c>
      <c r="I694" s="379"/>
      <c r="J694" s="365">
        <v>3</v>
      </c>
      <c r="K694" s="120"/>
      <c r="L694" s="120"/>
      <c r="M694" s="120">
        <v>11593</v>
      </c>
      <c r="N694" s="120">
        <v>11430</v>
      </c>
      <c r="O694" s="120">
        <v>419</v>
      </c>
      <c r="P694" s="120" t="s">
        <v>207</v>
      </c>
      <c r="Q694" s="120">
        <v>419</v>
      </c>
      <c r="R694" s="120" t="s">
        <v>207</v>
      </c>
      <c r="S694" s="120">
        <v>419</v>
      </c>
      <c r="T694" s="120" t="s">
        <v>207</v>
      </c>
      <c r="U694" s="120">
        <v>419</v>
      </c>
      <c r="V694" s="120" t="s">
        <v>207</v>
      </c>
      <c r="W694" s="120">
        <v>419</v>
      </c>
      <c r="X694" s="120" t="s">
        <v>207</v>
      </c>
      <c r="Y694" s="120">
        <v>419</v>
      </c>
      <c r="Z694" s="120" t="s">
        <v>207</v>
      </c>
      <c r="AA694" s="120">
        <v>419</v>
      </c>
      <c r="AB694" s="120" t="s">
        <v>207</v>
      </c>
      <c r="AC694" s="120">
        <v>419</v>
      </c>
      <c r="AD694" s="120" t="s">
        <v>207</v>
      </c>
      <c r="AE694" s="120">
        <v>419</v>
      </c>
      <c r="AF694" s="120" t="s">
        <v>207</v>
      </c>
      <c r="AG694" s="120">
        <v>619</v>
      </c>
      <c r="AH694" s="120" t="s">
        <v>207</v>
      </c>
      <c r="AI694" s="120">
        <v>700</v>
      </c>
      <c r="AJ694" s="120" t="s">
        <v>207</v>
      </c>
      <c r="AK694" s="120">
        <v>1020</v>
      </c>
      <c r="AL694" s="120" t="s">
        <v>207</v>
      </c>
      <c r="AM694" s="117">
        <f t="shared" si="19"/>
        <v>6110</v>
      </c>
    </row>
    <row r="695" spans="1:39" s="90" customFormat="1" ht="18" customHeight="1" x14ac:dyDescent="0.3">
      <c r="A695" s="297">
        <v>410</v>
      </c>
      <c r="B695" s="11" t="s">
        <v>1102</v>
      </c>
      <c r="C695" s="88" t="s">
        <v>268</v>
      </c>
      <c r="D695" s="88" t="s">
        <v>958</v>
      </c>
      <c r="E695" s="31" t="s">
        <v>48</v>
      </c>
      <c r="F695" s="85" t="s">
        <v>49</v>
      </c>
      <c r="G695" s="375"/>
      <c r="H695" s="365">
        <v>18</v>
      </c>
      <c r="I695" s="379"/>
      <c r="J695" s="365">
        <v>3</v>
      </c>
      <c r="K695" s="120"/>
      <c r="L695" s="120"/>
      <c r="M695" s="120"/>
      <c r="N695" s="120"/>
      <c r="O695" s="120"/>
      <c r="P695" s="120" t="s">
        <v>207</v>
      </c>
      <c r="Q695" s="120"/>
      <c r="R695" s="120" t="s">
        <v>207</v>
      </c>
      <c r="S695" s="120"/>
      <c r="T695" s="120" t="s">
        <v>207</v>
      </c>
      <c r="U695" s="120"/>
      <c r="V695" s="120" t="s">
        <v>207</v>
      </c>
      <c r="W695" s="120"/>
      <c r="X695" s="120" t="s">
        <v>207</v>
      </c>
      <c r="Y695" s="120"/>
      <c r="Z695" s="120" t="s">
        <v>207</v>
      </c>
      <c r="AA695" s="120"/>
      <c r="AB695" s="120" t="s">
        <v>207</v>
      </c>
      <c r="AC695" s="120"/>
      <c r="AD695" s="120" t="s">
        <v>207</v>
      </c>
      <c r="AE695" s="120"/>
      <c r="AF695" s="120" t="s">
        <v>207</v>
      </c>
      <c r="AG695" s="120"/>
      <c r="AH695" s="120" t="s">
        <v>207</v>
      </c>
      <c r="AI695" s="120"/>
      <c r="AJ695" s="120" t="s">
        <v>207</v>
      </c>
      <c r="AK695" s="120"/>
      <c r="AL695" s="120" t="s">
        <v>207</v>
      </c>
      <c r="AM695" s="117">
        <f t="shared" si="19"/>
        <v>0</v>
      </c>
    </row>
    <row r="696" spans="1:39" s="90" customFormat="1" ht="18" customHeight="1" x14ac:dyDescent="0.3">
      <c r="A696" s="114">
        <v>411</v>
      </c>
      <c r="B696" s="11" t="s">
        <v>1103</v>
      </c>
      <c r="C696" s="88" t="s">
        <v>268</v>
      </c>
      <c r="D696" s="88" t="s">
        <v>958</v>
      </c>
      <c r="E696" s="31" t="s">
        <v>48</v>
      </c>
      <c r="F696" s="85" t="s">
        <v>49</v>
      </c>
      <c r="G696" s="375"/>
      <c r="H696" s="365">
        <v>18</v>
      </c>
      <c r="I696" s="379"/>
      <c r="J696" s="365">
        <v>3</v>
      </c>
      <c r="K696" s="120"/>
      <c r="L696" s="120"/>
      <c r="M696" s="120"/>
      <c r="N696" s="120"/>
      <c r="O696" s="120"/>
      <c r="P696" s="120" t="s">
        <v>207</v>
      </c>
      <c r="Q696" s="120"/>
      <c r="R696" s="120" t="s">
        <v>207</v>
      </c>
      <c r="S696" s="120"/>
      <c r="T696" s="120" t="s">
        <v>207</v>
      </c>
      <c r="U696" s="120"/>
      <c r="V696" s="120" t="s">
        <v>207</v>
      </c>
      <c r="W696" s="120"/>
      <c r="X696" s="120" t="s">
        <v>207</v>
      </c>
      <c r="Y696" s="120"/>
      <c r="Z696" s="120" t="s">
        <v>207</v>
      </c>
      <c r="AA696" s="120"/>
      <c r="AB696" s="120" t="s">
        <v>207</v>
      </c>
      <c r="AC696" s="120"/>
      <c r="AD696" s="120" t="s">
        <v>207</v>
      </c>
      <c r="AE696" s="120"/>
      <c r="AF696" s="120" t="s">
        <v>207</v>
      </c>
      <c r="AG696" s="120"/>
      <c r="AH696" s="120" t="s">
        <v>207</v>
      </c>
      <c r="AI696" s="120"/>
      <c r="AJ696" s="120" t="s">
        <v>207</v>
      </c>
      <c r="AK696" s="120"/>
      <c r="AL696" s="120" t="s">
        <v>207</v>
      </c>
      <c r="AM696" s="117">
        <f t="shared" si="19"/>
        <v>0</v>
      </c>
    </row>
    <row r="697" spans="1:39" s="90" customFormat="1" ht="18" customHeight="1" x14ac:dyDescent="0.3">
      <c r="A697" s="114">
        <v>412</v>
      </c>
      <c r="B697" s="11" t="s">
        <v>1104</v>
      </c>
      <c r="C697" s="88" t="s">
        <v>268</v>
      </c>
      <c r="D697" s="88" t="s">
        <v>958</v>
      </c>
      <c r="E697" s="31" t="s">
        <v>48</v>
      </c>
      <c r="F697" s="85" t="s">
        <v>49</v>
      </c>
      <c r="G697" s="375"/>
      <c r="H697" s="365">
        <v>18</v>
      </c>
      <c r="I697" s="379"/>
      <c r="J697" s="365">
        <v>3</v>
      </c>
      <c r="K697" s="120"/>
      <c r="L697" s="120"/>
      <c r="M697" s="120">
        <v>9515</v>
      </c>
      <c r="N697" s="120">
        <v>3327</v>
      </c>
      <c r="O697" s="120">
        <v>433</v>
      </c>
      <c r="P697" s="120" t="s">
        <v>207</v>
      </c>
      <c r="Q697" s="120">
        <v>305</v>
      </c>
      <c r="R697" s="120" t="s">
        <v>207</v>
      </c>
      <c r="S697" s="120">
        <v>518</v>
      </c>
      <c r="T697" s="120" t="s">
        <v>207</v>
      </c>
      <c r="U697" s="120">
        <v>553</v>
      </c>
      <c r="V697" s="120" t="s">
        <v>207</v>
      </c>
      <c r="W697" s="120">
        <v>497</v>
      </c>
      <c r="X697" s="120" t="s">
        <v>207</v>
      </c>
      <c r="Y697" s="120">
        <v>490</v>
      </c>
      <c r="Z697" s="120" t="s">
        <v>207</v>
      </c>
      <c r="AA697" s="120">
        <v>432</v>
      </c>
      <c r="AB697" s="120" t="s">
        <v>207</v>
      </c>
      <c r="AC697" s="120">
        <v>177</v>
      </c>
      <c r="AD697" s="120" t="s">
        <v>207</v>
      </c>
      <c r="AE697" s="120">
        <v>142</v>
      </c>
      <c r="AF697" s="120" t="s">
        <v>207</v>
      </c>
      <c r="AG697" s="120">
        <v>273</v>
      </c>
      <c r="AH697" s="120" t="s">
        <v>207</v>
      </c>
      <c r="AI697" s="120">
        <v>273</v>
      </c>
      <c r="AJ697" s="120" t="s">
        <v>207</v>
      </c>
      <c r="AK697" s="120">
        <v>701</v>
      </c>
      <c r="AL697" s="120" t="s">
        <v>207</v>
      </c>
      <c r="AM697" s="117">
        <f t="shared" si="19"/>
        <v>4794</v>
      </c>
    </row>
    <row r="698" spans="1:39" s="90" customFormat="1" ht="18" customHeight="1" x14ac:dyDescent="0.3">
      <c r="A698" s="297">
        <v>413</v>
      </c>
      <c r="B698" s="11" t="s">
        <v>1105</v>
      </c>
      <c r="C698" s="88" t="s">
        <v>268</v>
      </c>
      <c r="D698" s="88" t="s">
        <v>958</v>
      </c>
      <c r="E698" s="31" t="s">
        <v>48</v>
      </c>
      <c r="F698" s="85" t="s">
        <v>49</v>
      </c>
      <c r="G698" s="375"/>
      <c r="H698" s="365">
        <v>24</v>
      </c>
      <c r="I698" s="379"/>
      <c r="J698" s="365">
        <v>3</v>
      </c>
      <c r="K698" s="120"/>
      <c r="L698" s="120"/>
      <c r="M698" s="120">
        <v>1584</v>
      </c>
      <c r="N698" s="120">
        <v>1584</v>
      </c>
      <c r="O698" s="120">
        <v>372</v>
      </c>
      <c r="P698" s="120" t="s">
        <v>207</v>
      </c>
      <c r="Q698" s="120">
        <v>336</v>
      </c>
      <c r="R698" s="120" t="s">
        <v>207</v>
      </c>
      <c r="S698" s="120">
        <v>372</v>
      </c>
      <c r="T698" s="120" t="s">
        <v>207</v>
      </c>
      <c r="U698" s="120">
        <v>360</v>
      </c>
      <c r="V698" s="120" t="s">
        <v>207</v>
      </c>
      <c r="W698" s="120">
        <v>372</v>
      </c>
      <c r="X698" s="120" t="s">
        <v>207</v>
      </c>
      <c r="Y698" s="120">
        <v>360</v>
      </c>
      <c r="Z698" s="120" t="s">
        <v>207</v>
      </c>
      <c r="AA698" s="120">
        <v>372</v>
      </c>
      <c r="AB698" s="120" t="s">
        <v>207</v>
      </c>
      <c r="AC698" s="120">
        <v>372</v>
      </c>
      <c r="AD698" s="120" t="s">
        <v>207</v>
      </c>
      <c r="AE698" s="120">
        <v>360</v>
      </c>
      <c r="AF698" s="120" t="s">
        <v>207</v>
      </c>
      <c r="AG698" s="120">
        <v>372</v>
      </c>
      <c r="AH698" s="120" t="s">
        <v>207</v>
      </c>
      <c r="AI698" s="120">
        <v>360</v>
      </c>
      <c r="AJ698" s="120" t="s">
        <v>207</v>
      </c>
      <c r="AK698" s="120">
        <v>372</v>
      </c>
      <c r="AL698" s="120" t="s">
        <v>207</v>
      </c>
      <c r="AM698" s="117">
        <f t="shared" si="19"/>
        <v>4380</v>
      </c>
    </row>
    <row r="699" spans="1:39" s="90" customFormat="1" ht="18" customHeight="1" x14ac:dyDescent="0.3">
      <c r="A699" s="114">
        <v>414</v>
      </c>
      <c r="B699" s="11" t="s">
        <v>1106</v>
      </c>
      <c r="C699" s="88" t="s">
        <v>268</v>
      </c>
      <c r="D699" s="88" t="s">
        <v>958</v>
      </c>
      <c r="E699" s="31" t="s">
        <v>48</v>
      </c>
      <c r="F699" s="85" t="s">
        <v>49</v>
      </c>
      <c r="G699" s="375"/>
      <c r="H699" s="365">
        <v>5</v>
      </c>
      <c r="I699" s="379"/>
      <c r="J699" s="365">
        <v>1</v>
      </c>
      <c r="K699" s="120"/>
      <c r="L699" s="120"/>
      <c r="M699" s="120">
        <v>1682</v>
      </c>
      <c r="N699" s="120">
        <v>1802</v>
      </c>
      <c r="O699" s="120">
        <v>372</v>
      </c>
      <c r="P699" s="120" t="s">
        <v>207</v>
      </c>
      <c r="Q699" s="120">
        <v>336</v>
      </c>
      <c r="R699" s="120" t="s">
        <v>207</v>
      </c>
      <c r="S699" s="120">
        <v>372</v>
      </c>
      <c r="T699" s="120" t="s">
        <v>207</v>
      </c>
      <c r="U699" s="120">
        <v>360</v>
      </c>
      <c r="V699" s="120" t="s">
        <v>207</v>
      </c>
      <c r="W699" s="120">
        <v>372</v>
      </c>
      <c r="X699" s="120" t="s">
        <v>207</v>
      </c>
      <c r="Y699" s="120">
        <v>360</v>
      </c>
      <c r="Z699" s="120" t="s">
        <v>207</v>
      </c>
      <c r="AA699" s="120">
        <v>372</v>
      </c>
      <c r="AB699" s="120" t="s">
        <v>207</v>
      </c>
      <c r="AC699" s="120">
        <v>372</v>
      </c>
      <c r="AD699" s="120" t="s">
        <v>207</v>
      </c>
      <c r="AE699" s="120">
        <v>360</v>
      </c>
      <c r="AF699" s="120" t="s">
        <v>207</v>
      </c>
      <c r="AG699" s="120">
        <v>372</v>
      </c>
      <c r="AH699" s="120" t="s">
        <v>207</v>
      </c>
      <c r="AI699" s="120">
        <v>360</v>
      </c>
      <c r="AJ699" s="120" t="s">
        <v>207</v>
      </c>
      <c r="AK699" s="120">
        <v>372</v>
      </c>
      <c r="AL699" s="120" t="s">
        <v>207</v>
      </c>
      <c r="AM699" s="117">
        <f t="shared" si="19"/>
        <v>4380</v>
      </c>
    </row>
    <row r="700" spans="1:39" s="90" customFormat="1" ht="18" customHeight="1" x14ac:dyDescent="0.3">
      <c r="A700" s="114">
        <v>415</v>
      </c>
      <c r="B700" s="11" t="s">
        <v>1107</v>
      </c>
      <c r="C700" s="88" t="s">
        <v>268</v>
      </c>
      <c r="D700" s="88" t="s">
        <v>958</v>
      </c>
      <c r="E700" s="31" t="s">
        <v>48</v>
      </c>
      <c r="F700" s="85" t="s">
        <v>49</v>
      </c>
      <c r="G700" s="375"/>
      <c r="H700" s="365">
        <v>10</v>
      </c>
      <c r="I700" s="379"/>
      <c r="J700" s="365">
        <v>1</v>
      </c>
      <c r="K700" s="120"/>
      <c r="L700" s="120"/>
      <c r="M700" s="120">
        <v>610</v>
      </c>
      <c r="N700" s="120">
        <v>577</v>
      </c>
      <c r="O700" s="120">
        <v>118</v>
      </c>
      <c r="P700" s="120" t="s">
        <v>207</v>
      </c>
      <c r="Q700" s="120">
        <v>73</v>
      </c>
      <c r="R700" s="120" t="s">
        <v>207</v>
      </c>
      <c r="S700" s="120">
        <v>57</v>
      </c>
      <c r="T700" s="120" t="s">
        <v>207</v>
      </c>
      <c r="U700" s="120">
        <v>52</v>
      </c>
      <c r="V700" s="120" t="s">
        <v>207</v>
      </c>
      <c r="W700" s="120">
        <v>49</v>
      </c>
      <c r="X700" s="120" t="s">
        <v>207</v>
      </c>
      <c r="Y700" s="120">
        <v>33</v>
      </c>
      <c r="Z700" s="120" t="s">
        <v>207</v>
      </c>
      <c r="AA700" s="120">
        <v>0</v>
      </c>
      <c r="AB700" s="120" t="s">
        <v>207</v>
      </c>
      <c r="AC700" s="120">
        <v>6</v>
      </c>
      <c r="AD700" s="120" t="s">
        <v>207</v>
      </c>
      <c r="AE700" s="120">
        <v>45</v>
      </c>
      <c r="AF700" s="120" t="s">
        <v>207</v>
      </c>
      <c r="AG700" s="120">
        <v>46</v>
      </c>
      <c r="AH700" s="120" t="s">
        <v>207</v>
      </c>
      <c r="AI700" s="120">
        <v>52</v>
      </c>
      <c r="AJ700" s="120" t="s">
        <v>207</v>
      </c>
      <c r="AK700" s="120">
        <v>91</v>
      </c>
      <c r="AL700" s="120" t="s">
        <v>207</v>
      </c>
      <c r="AM700" s="117">
        <f t="shared" si="19"/>
        <v>622</v>
      </c>
    </row>
    <row r="701" spans="1:39" s="90" customFormat="1" ht="18" customHeight="1" x14ac:dyDescent="0.3">
      <c r="A701" s="297">
        <v>416</v>
      </c>
      <c r="B701" s="11" t="s">
        <v>1108</v>
      </c>
      <c r="C701" s="88" t="s">
        <v>268</v>
      </c>
      <c r="D701" s="88" t="s">
        <v>958</v>
      </c>
      <c r="E701" s="31" t="s">
        <v>48</v>
      </c>
      <c r="F701" s="85" t="s">
        <v>49</v>
      </c>
      <c r="G701" s="375"/>
      <c r="H701" s="365">
        <v>14</v>
      </c>
      <c r="I701" s="379"/>
      <c r="J701" s="365">
        <v>2</v>
      </c>
      <c r="K701" s="120"/>
      <c r="L701" s="120"/>
      <c r="M701" s="120">
        <v>8190</v>
      </c>
      <c r="N701" s="120">
        <v>7924</v>
      </c>
      <c r="O701" s="120">
        <v>0</v>
      </c>
      <c r="P701" s="120" t="s">
        <v>207</v>
      </c>
      <c r="Q701" s="120">
        <v>0</v>
      </c>
      <c r="R701" s="120" t="s">
        <v>207</v>
      </c>
      <c r="S701" s="120">
        <v>438</v>
      </c>
      <c r="T701" s="120" t="s">
        <v>207</v>
      </c>
      <c r="U701" s="120">
        <v>675</v>
      </c>
      <c r="V701" s="120" t="s">
        <v>207</v>
      </c>
      <c r="W701" s="120">
        <v>489</v>
      </c>
      <c r="X701" s="120" t="s">
        <v>207</v>
      </c>
      <c r="Y701" s="120">
        <v>449</v>
      </c>
      <c r="Z701" s="120" t="s">
        <v>207</v>
      </c>
      <c r="AA701" s="120">
        <v>447</v>
      </c>
      <c r="AB701" s="120" t="s">
        <v>207</v>
      </c>
      <c r="AC701" s="120">
        <v>418</v>
      </c>
      <c r="AD701" s="120" t="s">
        <v>207</v>
      </c>
      <c r="AE701" s="120">
        <v>366</v>
      </c>
      <c r="AF701" s="120" t="s">
        <v>207</v>
      </c>
      <c r="AG701" s="120">
        <v>410</v>
      </c>
      <c r="AH701" s="120" t="s">
        <v>207</v>
      </c>
      <c r="AI701" s="120">
        <v>911</v>
      </c>
      <c r="AJ701" s="120" t="s">
        <v>207</v>
      </c>
      <c r="AK701" s="120">
        <v>701</v>
      </c>
      <c r="AL701" s="120" t="s">
        <v>207</v>
      </c>
      <c r="AM701" s="117">
        <f t="shared" si="19"/>
        <v>5304</v>
      </c>
    </row>
    <row r="702" spans="1:39" s="90" customFormat="1" ht="18" customHeight="1" x14ac:dyDescent="0.3">
      <c r="A702" s="114">
        <v>417</v>
      </c>
      <c r="B702" s="11" t="s">
        <v>1109</v>
      </c>
      <c r="C702" s="88" t="s">
        <v>268</v>
      </c>
      <c r="D702" s="88" t="s">
        <v>958</v>
      </c>
      <c r="E702" s="31" t="s">
        <v>48</v>
      </c>
      <c r="F702" s="85" t="s">
        <v>49</v>
      </c>
      <c r="G702" s="375"/>
      <c r="H702" s="365">
        <v>13</v>
      </c>
      <c r="I702" s="379"/>
      <c r="J702" s="365">
        <v>1</v>
      </c>
      <c r="K702" s="120"/>
      <c r="L702" s="120"/>
      <c r="M702" s="120">
        <v>3103</v>
      </c>
      <c r="N702" s="120">
        <v>2729</v>
      </c>
      <c r="O702" s="120">
        <v>229</v>
      </c>
      <c r="P702" s="120" t="s">
        <v>207</v>
      </c>
      <c r="Q702" s="120">
        <v>299</v>
      </c>
      <c r="R702" s="120" t="s">
        <v>207</v>
      </c>
      <c r="S702" s="120">
        <v>284</v>
      </c>
      <c r="T702" s="120" t="s">
        <v>207</v>
      </c>
      <c r="U702" s="120">
        <v>268</v>
      </c>
      <c r="V702" s="120" t="s">
        <v>207</v>
      </c>
      <c r="W702" s="120">
        <v>190</v>
      </c>
      <c r="X702" s="120" t="s">
        <v>207</v>
      </c>
      <c r="Y702" s="120">
        <v>322</v>
      </c>
      <c r="Z702" s="120" t="s">
        <v>207</v>
      </c>
      <c r="AA702" s="120">
        <v>376</v>
      </c>
      <c r="AB702" s="120" t="s">
        <v>207</v>
      </c>
      <c r="AC702" s="120">
        <v>226</v>
      </c>
      <c r="AD702" s="120" t="s">
        <v>207</v>
      </c>
      <c r="AE702" s="120">
        <v>276</v>
      </c>
      <c r="AF702" s="120" t="s">
        <v>207</v>
      </c>
      <c r="AG702" s="120">
        <v>243</v>
      </c>
      <c r="AH702" s="120" t="s">
        <v>207</v>
      </c>
      <c r="AI702" s="120">
        <v>161</v>
      </c>
      <c r="AJ702" s="120" t="s">
        <v>207</v>
      </c>
      <c r="AK702" s="120">
        <v>267</v>
      </c>
      <c r="AL702" s="120" t="s">
        <v>207</v>
      </c>
      <c r="AM702" s="117">
        <f t="shared" si="19"/>
        <v>3141</v>
      </c>
    </row>
    <row r="703" spans="1:39" s="90" customFormat="1" ht="18" customHeight="1" x14ac:dyDescent="0.3">
      <c r="A703" s="114">
        <v>418</v>
      </c>
      <c r="B703" s="11" t="s">
        <v>1110</v>
      </c>
      <c r="C703" s="88" t="s">
        <v>268</v>
      </c>
      <c r="D703" s="88" t="s">
        <v>958</v>
      </c>
      <c r="E703" s="31" t="s">
        <v>48</v>
      </c>
      <c r="F703" s="85" t="s">
        <v>49</v>
      </c>
      <c r="G703" s="375"/>
      <c r="H703" s="365">
        <v>5</v>
      </c>
      <c r="I703" s="379"/>
      <c r="J703" s="365">
        <v>1</v>
      </c>
      <c r="K703" s="120"/>
      <c r="L703" s="120"/>
      <c r="M703" s="120">
        <v>1941</v>
      </c>
      <c r="N703" s="120">
        <v>2284</v>
      </c>
      <c r="O703" s="120">
        <v>272</v>
      </c>
      <c r="P703" s="120" t="s">
        <v>207</v>
      </c>
      <c r="Q703" s="120">
        <v>230</v>
      </c>
      <c r="R703" s="120" t="s">
        <v>207</v>
      </c>
      <c r="S703" s="120">
        <v>267</v>
      </c>
      <c r="T703" s="120" t="s">
        <v>207</v>
      </c>
      <c r="U703" s="120">
        <v>130</v>
      </c>
      <c r="V703" s="120" t="s">
        <v>207</v>
      </c>
      <c r="W703" s="120">
        <v>124</v>
      </c>
      <c r="X703" s="120" t="s">
        <v>207</v>
      </c>
      <c r="Y703" s="120">
        <v>93</v>
      </c>
      <c r="Z703" s="120" t="s">
        <v>207</v>
      </c>
      <c r="AA703" s="120">
        <v>73</v>
      </c>
      <c r="AB703" s="120" t="s">
        <v>207</v>
      </c>
      <c r="AC703" s="120">
        <v>33</v>
      </c>
      <c r="AD703" s="120" t="s">
        <v>207</v>
      </c>
      <c r="AE703" s="120">
        <v>80</v>
      </c>
      <c r="AF703" s="120" t="s">
        <v>207</v>
      </c>
      <c r="AG703" s="120">
        <v>145</v>
      </c>
      <c r="AH703" s="120" t="s">
        <v>207</v>
      </c>
      <c r="AI703" s="120">
        <v>260</v>
      </c>
      <c r="AJ703" s="120" t="s">
        <v>207</v>
      </c>
      <c r="AK703" s="120">
        <v>346</v>
      </c>
      <c r="AL703" s="120" t="s">
        <v>207</v>
      </c>
      <c r="AM703" s="117">
        <f t="shared" si="19"/>
        <v>2053</v>
      </c>
    </row>
    <row r="704" spans="1:39" s="90" customFormat="1" ht="18" customHeight="1" x14ac:dyDescent="0.3">
      <c r="A704" s="297">
        <v>419</v>
      </c>
      <c r="B704" s="11" t="s">
        <v>1111</v>
      </c>
      <c r="C704" s="88" t="s">
        <v>268</v>
      </c>
      <c r="D704" s="88" t="s">
        <v>958</v>
      </c>
      <c r="E704" s="31" t="s">
        <v>48</v>
      </c>
      <c r="F704" s="85" t="s">
        <v>49</v>
      </c>
      <c r="G704" s="375"/>
      <c r="H704" s="365">
        <v>20</v>
      </c>
      <c r="I704" s="379"/>
      <c r="J704" s="365">
        <v>4</v>
      </c>
      <c r="K704" s="120"/>
      <c r="L704" s="120"/>
      <c r="M704" s="120">
        <v>20180</v>
      </c>
      <c r="N704" s="120">
        <v>19232</v>
      </c>
      <c r="O704" s="120">
        <v>2289</v>
      </c>
      <c r="P704" s="120" t="s">
        <v>207</v>
      </c>
      <c r="Q704" s="120">
        <v>1943</v>
      </c>
      <c r="R704" s="120" t="s">
        <v>207</v>
      </c>
      <c r="S704" s="120">
        <v>2145</v>
      </c>
      <c r="T704" s="120" t="s">
        <v>207</v>
      </c>
      <c r="U704" s="120">
        <v>1347</v>
      </c>
      <c r="V704" s="120" t="s">
        <v>207</v>
      </c>
      <c r="W704" s="120">
        <v>2576</v>
      </c>
      <c r="X704" s="120" t="s">
        <v>207</v>
      </c>
      <c r="Y704" s="120">
        <v>1924</v>
      </c>
      <c r="Z704" s="120" t="s">
        <v>207</v>
      </c>
      <c r="AA704" s="120">
        <v>1666</v>
      </c>
      <c r="AB704" s="120" t="s">
        <v>207</v>
      </c>
      <c r="AC704" s="120">
        <v>1034</v>
      </c>
      <c r="AD704" s="120" t="s">
        <v>207</v>
      </c>
      <c r="AE704" s="120">
        <v>1975</v>
      </c>
      <c r="AF704" s="120" t="s">
        <v>207</v>
      </c>
      <c r="AG704" s="120">
        <v>2513</v>
      </c>
      <c r="AH704" s="120" t="s">
        <v>207</v>
      </c>
      <c r="AI704" s="120">
        <v>2158</v>
      </c>
      <c r="AJ704" s="120" t="s">
        <v>207</v>
      </c>
      <c r="AK704" s="120">
        <v>2715</v>
      </c>
      <c r="AL704" s="120" t="s">
        <v>207</v>
      </c>
      <c r="AM704" s="117">
        <f t="shared" si="19"/>
        <v>24285</v>
      </c>
    </row>
    <row r="705" spans="1:39" s="90" customFormat="1" ht="18" customHeight="1" x14ac:dyDescent="0.3">
      <c r="A705" s="114">
        <v>420</v>
      </c>
      <c r="B705" s="11" t="s">
        <v>1112</v>
      </c>
      <c r="C705" s="88" t="s">
        <v>268</v>
      </c>
      <c r="D705" s="88" t="s">
        <v>958</v>
      </c>
      <c r="E705" s="31" t="s">
        <v>48</v>
      </c>
      <c r="F705" s="85" t="s">
        <v>49</v>
      </c>
      <c r="G705" s="375"/>
      <c r="H705" s="365">
        <v>22</v>
      </c>
      <c r="I705" s="379"/>
      <c r="J705" s="365">
        <v>4</v>
      </c>
      <c r="K705" s="120"/>
      <c r="L705" s="120"/>
      <c r="M705" s="120">
        <v>4600</v>
      </c>
      <c r="N705" s="120">
        <v>3982</v>
      </c>
      <c r="O705" s="120">
        <v>409</v>
      </c>
      <c r="P705" s="120" t="s">
        <v>207</v>
      </c>
      <c r="Q705" s="120">
        <v>326</v>
      </c>
      <c r="R705" s="120" t="s">
        <v>207</v>
      </c>
      <c r="S705" s="120">
        <v>405</v>
      </c>
      <c r="T705" s="120" t="s">
        <v>207</v>
      </c>
      <c r="U705" s="120">
        <v>327</v>
      </c>
      <c r="V705" s="120" t="s">
        <v>207</v>
      </c>
      <c r="W705" s="120">
        <v>269</v>
      </c>
      <c r="X705" s="120" t="s">
        <v>207</v>
      </c>
      <c r="Y705" s="120">
        <v>235</v>
      </c>
      <c r="Z705" s="120" t="s">
        <v>207</v>
      </c>
      <c r="AA705" s="120">
        <v>409</v>
      </c>
      <c r="AB705" s="120" t="s">
        <v>207</v>
      </c>
      <c r="AC705" s="120">
        <v>181</v>
      </c>
      <c r="AD705" s="120" t="s">
        <v>207</v>
      </c>
      <c r="AE705" s="120">
        <v>437</v>
      </c>
      <c r="AF705" s="120" t="s">
        <v>207</v>
      </c>
      <c r="AG705" s="120">
        <v>550</v>
      </c>
      <c r="AH705" s="120" t="s">
        <v>207</v>
      </c>
      <c r="AI705" s="120">
        <v>487</v>
      </c>
      <c r="AJ705" s="120" t="s">
        <v>207</v>
      </c>
      <c r="AK705" s="120">
        <v>585</v>
      </c>
      <c r="AL705" s="120" t="s">
        <v>207</v>
      </c>
      <c r="AM705" s="117">
        <f t="shared" si="19"/>
        <v>4620</v>
      </c>
    </row>
    <row r="706" spans="1:39" s="90" customFormat="1" ht="18" customHeight="1" x14ac:dyDescent="0.3">
      <c r="A706" s="114">
        <v>421</v>
      </c>
      <c r="B706" s="11" t="s">
        <v>1113</v>
      </c>
      <c r="C706" s="88" t="s">
        <v>268</v>
      </c>
      <c r="D706" s="88" t="s">
        <v>958</v>
      </c>
      <c r="E706" s="31" t="s">
        <v>48</v>
      </c>
      <c r="F706" s="85" t="s">
        <v>49</v>
      </c>
      <c r="G706" s="375"/>
      <c r="H706" s="365">
        <v>23</v>
      </c>
      <c r="I706" s="379"/>
      <c r="J706" s="365">
        <v>4</v>
      </c>
      <c r="K706" s="120"/>
      <c r="L706" s="120"/>
      <c r="M706" s="120">
        <v>4189</v>
      </c>
      <c r="N706" s="120">
        <v>3547</v>
      </c>
      <c r="O706" s="120">
        <v>628</v>
      </c>
      <c r="P706" s="120" t="s">
        <v>207</v>
      </c>
      <c r="Q706" s="120">
        <v>484</v>
      </c>
      <c r="R706" s="120" t="s">
        <v>207</v>
      </c>
      <c r="S706" s="120">
        <v>568</v>
      </c>
      <c r="T706" s="120" t="s">
        <v>207</v>
      </c>
      <c r="U706" s="120">
        <v>383</v>
      </c>
      <c r="V706" s="120" t="s">
        <v>207</v>
      </c>
      <c r="W706" s="120">
        <v>413</v>
      </c>
      <c r="X706" s="120" t="s">
        <v>207</v>
      </c>
      <c r="Y706" s="120">
        <v>328</v>
      </c>
      <c r="Z706" s="120" t="s">
        <v>207</v>
      </c>
      <c r="AA706" s="120">
        <v>538</v>
      </c>
      <c r="AB706" s="120" t="s">
        <v>207</v>
      </c>
      <c r="AC706" s="120">
        <v>267</v>
      </c>
      <c r="AD706" s="120" t="s">
        <v>207</v>
      </c>
      <c r="AE706" s="120">
        <v>329</v>
      </c>
      <c r="AF706" s="120" t="s">
        <v>207</v>
      </c>
      <c r="AG706" s="120">
        <v>316</v>
      </c>
      <c r="AH706" s="120" t="s">
        <v>207</v>
      </c>
      <c r="AI706" s="120">
        <v>217</v>
      </c>
      <c r="AJ706" s="120" t="s">
        <v>207</v>
      </c>
      <c r="AK706" s="120">
        <v>407</v>
      </c>
      <c r="AL706" s="120" t="s">
        <v>207</v>
      </c>
      <c r="AM706" s="117">
        <f t="shared" si="19"/>
        <v>4878</v>
      </c>
    </row>
    <row r="707" spans="1:39" s="90" customFormat="1" ht="18" customHeight="1" x14ac:dyDescent="0.3">
      <c r="A707" s="297">
        <v>422</v>
      </c>
      <c r="B707" s="11" t="s">
        <v>1114</v>
      </c>
      <c r="C707" s="88" t="s">
        <v>268</v>
      </c>
      <c r="D707" s="88" t="s">
        <v>958</v>
      </c>
      <c r="E707" s="31" t="s">
        <v>48</v>
      </c>
      <c r="F707" s="85" t="s">
        <v>49</v>
      </c>
      <c r="G707" s="375"/>
      <c r="H707" s="365">
        <v>20</v>
      </c>
      <c r="I707" s="379"/>
      <c r="J707" s="365">
        <v>4</v>
      </c>
      <c r="K707" s="120"/>
      <c r="L707" s="120"/>
      <c r="M707" s="120">
        <v>1666</v>
      </c>
      <c r="N707" s="120">
        <v>1405</v>
      </c>
      <c r="O707" s="120">
        <v>223</v>
      </c>
      <c r="P707" s="120" t="s">
        <v>207</v>
      </c>
      <c r="Q707" s="120">
        <v>202</v>
      </c>
      <c r="R707" s="120" t="s">
        <v>207</v>
      </c>
      <c r="S707" s="120">
        <v>223</v>
      </c>
      <c r="T707" s="120" t="s">
        <v>207</v>
      </c>
      <c r="U707" s="120">
        <v>216</v>
      </c>
      <c r="V707" s="120" t="s">
        <v>207</v>
      </c>
      <c r="W707" s="120">
        <v>223</v>
      </c>
      <c r="X707" s="120" t="s">
        <v>207</v>
      </c>
      <c r="Y707" s="120">
        <v>216</v>
      </c>
      <c r="Z707" s="120" t="s">
        <v>207</v>
      </c>
      <c r="AA707" s="120">
        <v>223</v>
      </c>
      <c r="AB707" s="120" t="s">
        <v>207</v>
      </c>
      <c r="AC707" s="120">
        <v>223</v>
      </c>
      <c r="AD707" s="120" t="s">
        <v>207</v>
      </c>
      <c r="AE707" s="120">
        <v>216</v>
      </c>
      <c r="AF707" s="120" t="s">
        <v>207</v>
      </c>
      <c r="AG707" s="120">
        <v>61</v>
      </c>
      <c r="AH707" s="120" t="s">
        <v>207</v>
      </c>
      <c r="AI707" s="120">
        <v>111</v>
      </c>
      <c r="AJ707" s="120" t="s">
        <v>207</v>
      </c>
      <c r="AK707" s="120">
        <v>181</v>
      </c>
      <c r="AL707" s="120" t="s">
        <v>207</v>
      </c>
      <c r="AM707" s="117">
        <f t="shared" si="19"/>
        <v>2318</v>
      </c>
    </row>
    <row r="708" spans="1:39" s="90" customFormat="1" ht="18" customHeight="1" x14ac:dyDescent="0.3">
      <c r="A708" s="114">
        <v>423</v>
      </c>
      <c r="B708" s="11" t="s">
        <v>1115</v>
      </c>
      <c r="C708" s="88" t="s">
        <v>268</v>
      </c>
      <c r="D708" s="88" t="s">
        <v>958</v>
      </c>
      <c r="E708" s="31" t="s">
        <v>48</v>
      </c>
      <c r="F708" s="85" t="s">
        <v>49</v>
      </c>
      <c r="G708" s="375"/>
      <c r="H708" s="365">
        <v>18</v>
      </c>
      <c r="I708" s="379"/>
      <c r="J708" s="365">
        <v>4</v>
      </c>
      <c r="K708" s="120"/>
      <c r="L708" s="120"/>
      <c r="M708" s="120">
        <v>8939</v>
      </c>
      <c r="N708" s="120">
        <v>2095</v>
      </c>
      <c r="O708" s="120">
        <v>252</v>
      </c>
      <c r="P708" s="120" t="s">
        <v>207</v>
      </c>
      <c r="Q708" s="120">
        <v>231</v>
      </c>
      <c r="R708" s="120" t="s">
        <v>207</v>
      </c>
      <c r="S708" s="120">
        <v>229</v>
      </c>
      <c r="T708" s="120" t="s">
        <v>207</v>
      </c>
      <c r="U708" s="120">
        <v>272</v>
      </c>
      <c r="V708" s="120" t="s">
        <v>207</v>
      </c>
      <c r="W708" s="120">
        <v>244</v>
      </c>
      <c r="X708" s="120" t="s">
        <v>207</v>
      </c>
      <c r="Y708" s="120">
        <v>146</v>
      </c>
      <c r="Z708" s="120" t="s">
        <v>207</v>
      </c>
      <c r="AA708" s="120">
        <v>258</v>
      </c>
      <c r="AB708" s="120" t="s">
        <v>207</v>
      </c>
      <c r="AC708" s="120">
        <v>110</v>
      </c>
      <c r="AD708" s="120" t="s">
        <v>207</v>
      </c>
      <c r="AE708" s="120">
        <v>126</v>
      </c>
      <c r="AF708" s="120" t="s">
        <v>207</v>
      </c>
      <c r="AG708" s="120">
        <v>165</v>
      </c>
      <c r="AH708" s="120" t="s">
        <v>207</v>
      </c>
      <c r="AI708" s="120">
        <v>104</v>
      </c>
      <c r="AJ708" s="120" t="s">
        <v>207</v>
      </c>
      <c r="AK708" s="120">
        <v>143</v>
      </c>
      <c r="AL708" s="120" t="s">
        <v>207</v>
      </c>
      <c r="AM708" s="117">
        <f t="shared" si="19"/>
        <v>2280</v>
      </c>
    </row>
    <row r="709" spans="1:39" s="90" customFormat="1" ht="18" customHeight="1" x14ac:dyDescent="0.3">
      <c r="A709" s="114">
        <v>424</v>
      </c>
      <c r="B709" s="11" t="s">
        <v>1116</v>
      </c>
      <c r="C709" s="88" t="s">
        <v>268</v>
      </c>
      <c r="D709" s="88" t="s">
        <v>958</v>
      </c>
      <c r="E709" s="31" t="s">
        <v>48</v>
      </c>
      <c r="F709" s="85" t="s">
        <v>49</v>
      </c>
      <c r="G709" s="375"/>
      <c r="H709" s="365">
        <v>18</v>
      </c>
      <c r="I709" s="379"/>
      <c r="J709" s="365">
        <v>4</v>
      </c>
      <c r="K709" s="120"/>
      <c r="L709" s="120"/>
      <c r="M709" s="120">
        <v>2239</v>
      </c>
      <c r="N709" s="120">
        <v>2344</v>
      </c>
      <c r="O709" s="120">
        <v>301</v>
      </c>
      <c r="P709" s="120" t="s">
        <v>207</v>
      </c>
      <c r="Q709" s="120">
        <v>136</v>
      </c>
      <c r="R709" s="120" t="s">
        <v>207</v>
      </c>
      <c r="S709" s="120">
        <v>89</v>
      </c>
      <c r="T709" s="120" t="s">
        <v>207</v>
      </c>
      <c r="U709" s="120">
        <v>68</v>
      </c>
      <c r="V709" s="120" t="s">
        <v>207</v>
      </c>
      <c r="W709" s="120">
        <v>71</v>
      </c>
      <c r="X709" s="120" t="s">
        <v>207</v>
      </c>
      <c r="Y709" s="120">
        <v>265</v>
      </c>
      <c r="Z709" s="120" t="s">
        <v>207</v>
      </c>
      <c r="AA709" s="120">
        <v>234</v>
      </c>
      <c r="AB709" s="120" t="s">
        <v>207</v>
      </c>
      <c r="AC709" s="120">
        <v>148</v>
      </c>
      <c r="AD709" s="120" t="s">
        <v>207</v>
      </c>
      <c r="AE709" s="120">
        <v>210</v>
      </c>
      <c r="AF709" s="120" t="s">
        <v>207</v>
      </c>
      <c r="AG709" s="120">
        <v>213</v>
      </c>
      <c r="AH709" s="120" t="s">
        <v>207</v>
      </c>
      <c r="AI709" s="120">
        <v>176</v>
      </c>
      <c r="AJ709" s="120" t="s">
        <v>207</v>
      </c>
      <c r="AK709" s="120">
        <v>242</v>
      </c>
      <c r="AL709" s="120" t="s">
        <v>207</v>
      </c>
      <c r="AM709" s="117">
        <f t="shared" si="19"/>
        <v>2153</v>
      </c>
    </row>
    <row r="710" spans="1:39" s="90" customFormat="1" ht="18" customHeight="1" x14ac:dyDescent="0.3">
      <c r="A710" s="297">
        <v>425</v>
      </c>
      <c r="B710" s="11" t="s">
        <v>1117</v>
      </c>
      <c r="C710" s="88" t="s">
        <v>268</v>
      </c>
      <c r="D710" s="88" t="s">
        <v>958</v>
      </c>
      <c r="E710" s="31" t="s">
        <v>48</v>
      </c>
      <c r="F710" s="85" t="s">
        <v>49</v>
      </c>
      <c r="G710" s="375"/>
      <c r="H710" s="365">
        <v>20</v>
      </c>
      <c r="I710" s="379"/>
      <c r="J710" s="365">
        <v>4</v>
      </c>
      <c r="K710" s="120"/>
      <c r="L710" s="120"/>
      <c r="M710" s="120">
        <v>499</v>
      </c>
      <c r="N710" s="120">
        <v>869</v>
      </c>
      <c r="O710" s="120">
        <v>84</v>
      </c>
      <c r="P710" s="120" t="s">
        <v>207</v>
      </c>
      <c r="Q710" s="120">
        <v>71</v>
      </c>
      <c r="R710" s="120" t="s">
        <v>207</v>
      </c>
      <c r="S710" s="120">
        <v>48</v>
      </c>
      <c r="T710" s="120" t="s">
        <v>207</v>
      </c>
      <c r="U710" s="120">
        <v>28</v>
      </c>
      <c r="V710" s="120" t="s">
        <v>207</v>
      </c>
      <c r="W710" s="120">
        <v>28</v>
      </c>
      <c r="X710" s="120" t="s">
        <v>207</v>
      </c>
      <c r="Y710" s="120">
        <v>31</v>
      </c>
      <c r="Z710" s="120" t="s">
        <v>207</v>
      </c>
      <c r="AA710" s="120">
        <v>27</v>
      </c>
      <c r="AB710" s="120" t="s">
        <v>207</v>
      </c>
      <c r="AC710" s="120">
        <v>16</v>
      </c>
      <c r="AD710" s="120" t="s">
        <v>207</v>
      </c>
      <c r="AE710" s="120">
        <v>60</v>
      </c>
      <c r="AF710" s="120" t="s">
        <v>207</v>
      </c>
      <c r="AG710" s="120">
        <v>73</v>
      </c>
      <c r="AH710" s="120" t="s">
        <v>207</v>
      </c>
      <c r="AI710" s="120">
        <v>84</v>
      </c>
      <c r="AJ710" s="120" t="s">
        <v>207</v>
      </c>
      <c r="AK710" s="120">
        <v>91</v>
      </c>
      <c r="AL710" s="120" t="s">
        <v>207</v>
      </c>
      <c r="AM710" s="117">
        <f t="shared" si="19"/>
        <v>641</v>
      </c>
    </row>
    <row r="711" spans="1:39" s="90" customFormat="1" ht="18" customHeight="1" x14ac:dyDescent="0.3">
      <c r="A711" s="114">
        <v>426</v>
      </c>
      <c r="B711" s="11" t="s">
        <v>1118</v>
      </c>
      <c r="C711" s="88" t="s">
        <v>268</v>
      </c>
      <c r="D711" s="88" t="s">
        <v>958</v>
      </c>
      <c r="E711" s="31" t="s">
        <v>48</v>
      </c>
      <c r="F711" s="85" t="s">
        <v>49</v>
      </c>
      <c r="G711" s="375"/>
      <c r="H711" s="365">
        <v>20</v>
      </c>
      <c r="I711" s="379"/>
      <c r="J711" s="365">
        <v>5</v>
      </c>
      <c r="K711" s="120"/>
      <c r="L711" s="120"/>
      <c r="M711" s="120">
        <v>4197</v>
      </c>
      <c r="N711" s="120">
        <v>3953</v>
      </c>
      <c r="O711" s="120">
        <v>128</v>
      </c>
      <c r="P711" s="120" t="s">
        <v>207</v>
      </c>
      <c r="Q711" s="120">
        <v>104</v>
      </c>
      <c r="R711" s="120" t="s">
        <v>207</v>
      </c>
      <c r="S711" s="120">
        <v>93</v>
      </c>
      <c r="T711" s="120" t="s">
        <v>207</v>
      </c>
      <c r="U711" s="120">
        <v>77</v>
      </c>
      <c r="V711" s="120" t="s">
        <v>207</v>
      </c>
      <c r="W711" s="120">
        <v>75</v>
      </c>
      <c r="X711" s="120" t="s">
        <v>207</v>
      </c>
      <c r="Y711" s="120">
        <v>86</v>
      </c>
      <c r="Z711" s="120" t="s">
        <v>207</v>
      </c>
      <c r="AA711" s="120">
        <v>173</v>
      </c>
      <c r="AB711" s="120" t="s">
        <v>207</v>
      </c>
      <c r="AC711" s="120">
        <v>150</v>
      </c>
      <c r="AD711" s="120" t="s">
        <v>207</v>
      </c>
      <c r="AE711" s="120">
        <v>88</v>
      </c>
      <c r="AF711" s="120" t="s">
        <v>207</v>
      </c>
      <c r="AG711" s="120">
        <v>89</v>
      </c>
      <c r="AH711" s="120" t="s">
        <v>207</v>
      </c>
      <c r="AI711" s="120">
        <v>81</v>
      </c>
      <c r="AJ711" s="120" t="s">
        <v>207</v>
      </c>
      <c r="AK711" s="120">
        <v>110</v>
      </c>
      <c r="AL711" s="120" t="s">
        <v>207</v>
      </c>
      <c r="AM711" s="117">
        <f t="shared" si="19"/>
        <v>1254</v>
      </c>
    </row>
    <row r="712" spans="1:39" s="90" customFormat="1" ht="18" customHeight="1" x14ac:dyDescent="0.3">
      <c r="A712" s="114">
        <v>427</v>
      </c>
      <c r="B712" s="11" t="s">
        <v>1119</v>
      </c>
      <c r="C712" s="88" t="s">
        <v>268</v>
      </c>
      <c r="D712" s="88" t="s">
        <v>958</v>
      </c>
      <c r="E712" s="31" t="s">
        <v>48</v>
      </c>
      <c r="F712" s="85" t="s">
        <v>49</v>
      </c>
      <c r="G712" s="375"/>
      <c r="H712" s="365">
        <v>21</v>
      </c>
      <c r="I712" s="379"/>
      <c r="J712" s="365">
        <v>3</v>
      </c>
      <c r="K712" s="120"/>
      <c r="L712" s="120"/>
      <c r="M712" s="120">
        <v>5075</v>
      </c>
      <c r="N712" s="120">
        <v>4487</v>
      </c>
      <c r="O712" s="120">
        <v>632</v>
      </c>
      <c r="P712" s="120" t="s">
        <v>207</v>
      </c>
      <c r="Q712" s="120">
        <v>628</v>
      </c>
      <c r="R712" s="120" t="s">
        <v>207</v>
      </c>
      <c r="S712" s="120">
        <v>639</v>
      </c>
      <c r="T712" s="120" t="s">
        <v>207</v>
      </c>
      <c r="U712" s="120">
        <v>427</v>
      </c>
      <c r="V712" s="120" t="s">
        <v>207</v>
      </c>
      <c r="W712" s="120">
        <v>368</v>
      </c>
      <c r="X712" s="120" t="s">
        <v>207</v>
      </c>
      <c r="Y712" s="120">
        <v>275</v>
      </c>
      <c r="Z712" s="120" t="s">
        <v>207</v>
      </c>
      <c r="AA712" s="120">
        <v>325</v>
      </c>
      <c r="AB712" s="120" t="s">
        <v>207</v>
      </c>
      <c r="AC712" s="120">
        <v>203</v>
      </c>
      <c r="AD712" s="120" t="s">
        <v>207</v>
      </c>
      <c r="AE712" s="120">
        <v>394</v>
      </c>
      <c r="AF712" s="120" t="s">
        <v>207</v>
      </c>
      <c r="AG712" s="120">
        <v>490</v>
      </c>
      <c r="AH712" s="120" t="s">
        <v>207</v>
      </c>
      <c r="AI712" s="120">
        <v>299</v>
      </c>
      <c r="AJ712" s="120" t="s">
        <v>207</v>
      </c>
      <c r="AK712" s="120">
        <v>567</v>
      </c>
      <c r="AL712" s="120" t="s">
        <v>207</v>
      </c>
      <c r="AM712" s="117">
        <f t="shared" si="19"/>
        <v>5247</v>
      </c>
    </row>
    <row r="713" spans="1:39" s="90" customFormat="1" ht="18" customHeight="1" x14ac:dyDescent="0.3">
      <c r="A713" s="297">
        <v>428</v>
      </c>
      <c r="B713" s="11" t="s">
        <v>1120</v>
      </c>
      <c r="C713" s="88" t="s">
        <v>268</v>
      </c>
      <c r="D713" s="88" t="s">
        <v>958</v>
      </c>
      <c r="E713" s="31" t="s">
        <v>48</v>
      </c>
      <c r="F713" s="85" t="s">
        <v>49</v>
      </c>
      <c r="G713" s="375"/>
      <c r="H713" s="365">
        <v>21</v>
      </c>
      <c r="I713" s="379"/>
      <c r="J713" s="365">
        <v>3</v>
      </c>
      <c r="K713" s="120"/>
      <c r="L713" s="120"/>
      <c r="M713" s="120">
        <v>2507</v>
      </c>
      <c r="N713" s="120">
        <v>2778</v>
      </c>
      <c r="O713" s="120">
        <v>265</v>
      </c>
      <c r="P713" s="120" t="s">
        <v>207</v>
      </c>
      <c r="Q713" s="120">
        <v>224</v>
      </c>
      <c r="R713" s="120" t="s">
        <v>207</v>
      </c>
      <c r="S713" s="120">
        <v>232</v>
      </c>
      <c r="T713" s="120" t="s">
        <v>207</v>
      </c>
      <c r="U713" s="120">
        <v>199</v>
      </c>
      <c r="V713" s="120" t="s">
        <v>207</v>
      </c>
      <c r="W713" s="120">
        <v>154</v>
      </c>
      <c r="X713" s="120" t="s">
        <v>207</v>
      </c>
      <c r="Y713" s="120">
        <v>149</v>
      </c>
      <c r="Z713" s="120" t="s">
        <v>207</v>
      </c>
      <c r="AA713" s="120">
        <v>198</v>
      </c>
      <c r="AB713" s="120" t="s">
        <v>207</v>
      </c>
      <c r="AC713" s="120">
        <v>96</v>
      </c>
      <c r="AD713" s="120" t="s">
        <v>207</v>
      </c>
      <c r="AE713" s="120">
        <v>182</v>
      </c>
      <c r="AF713" s="120" t="s">
        <v>207</v>
      </c>
      <c r="AG713" s="120">
        <v>198</v>
      </c>
      <c r="AH713" s="120" t="s">
        <v>207</v>
      </c>
      <c r="AI713" s="120">
        <v>235</v>
      </c>
      <c r="AJ713" s="120" t="s">
        <v>207</v>
      </c>
      <c r="AK713" s="120">
        <v>354</v>
      </c>
      <c r="AL713" s="120" t="s">
        <v>207</v>
      </c>
      <c r="AM713" s="117">
        <f t="shared" si="19"/>
        <v>2486</v>
      </c>
    </row>
    <row r="714" spans="1:39" s="90" customFormat="1" ht="18" customHeight="1" x14ac:dyDescent="0.3">
      <c r="A714" s="114">
        <v>429</v>
      </c>
      <c r="B714" s="11" t="s">
        <v>1121</v>
      </c>
      <c r="C714" s="88" t="s">
        <v>268</v>
      </c>
      <c r="D714" s="88" t="s">
        <v>958</v>
      </c>
      <c r="E714" s="31" t="s">
        <v>48</v>
      </c>
      <c r="F714" s="85" t="s">
        <v>49</v>
      </c>
      <c r="G714" s="375"/>
      <c r="H714" s="365">
        <v>22</v>
      </c>
      <c r="I714" s="379"/>
      <c r="J714" s="365">
        <v>3</v>
      </c>
      <c r="K714" s="120"/>
      <c r="L714" s="120"/>
      <c r="M714" s="120">
        <v>2436</v>
      </c>
      <c r="N714" s="120">
        <v>2991</v>
      </c>
      <c r="O714" s="120">
        <v>70</v>
      </c>
      <c r="P714" s="120" t="s">
        <v>207</v>
      </c>
      <c r="Q714" s="120">
        <v>260</v>
      </c>
      <c r="R714" s="120" t="s">
        <v>207</v>
      </c>
      <c r="S714" s="120">
        <v>404</v>
      </c>
      <c r="T714" s="120" t="s">
        <v>207</v>
      </c>
      <c r="U714" s="120">
        <v>188</v>
      </c>
      <c r="V714" s="120" t="s">
        <v>207</v>
      </c>
      <c r="W714" s="120">
        <v>137</v>
      </c>
      <c r="X714" s="120" t="s">
        <v>207</v>
      </c>
      <c r="Y714" s="120">
        <v>130</v>
      </c>
      <c r="Z714" s="120" t="s">
        <v>207</v>
      </c>
      <c r="AA714" s="120">
        <v>129</v>
      </c>
      <c r="AB714" s="120" t="s">
        <v>207</v>
      </c>
      <c r="AC714" s="120">
        <v>98</v>
      </c>
      <c r="AD714" s="120" t="s">
        <v>207</v>
      </c>
      <c r="AE714" s="120">
        <v>256</v>
      </c>
      <c r="AF714" s="120" t="s">
        <v>207</v>
      </c>
      <c r="AG714" s="120">
        <v>313</v>
      </c>
      <c r="AH714" s="120" t="s">
        <v>207</v>
      </c>
      <c r="AI714" s="120">
        <v>312</v>
      </c>
      <c r="AJ714" s="120" t="s">
        <v>207</v>
      </c>
      <c r="AK714" s="120">
        <v>416</v>
      </c>
      <c r="AL714" s="120" t="s">
        <v>207</v>
      </c>
      <c r="AM714" s="117">
        <f t="shared" si="19"/>
        <v>2713</v>
      </c>
    </row>
    <row r="715" spans="1:39" s="90" customFormat="1" ht="18" customHeight="1" x14ac:dyDescent="0.3">
      <c r="A715" s="114">
        <v>430</v>
      </c>
      <c r="B715" s="11" t="s">
        <v>1122</v>
      </c>
      <c r="C715" s="88" t="s">
        <v>268</v>
      </c>
      <c r="D715" s="88" t="s">
        <v>958</v>
      </c>
      <c r="E715" s="31" t="s">
        <v>48</v>
      </c>
      <c r="F715" s="85" t="s">
        <v>49</v>
      </c>
      <c r="G715" s="375"/>
      <c r="H715" s="365">
        <v>20</v>
      </c>
      <c r="I715" s="379"/>
      <c r="J715" s="365">
        <v>4</v>
      </c>
      <c r="K715" s="120"/>
      <c r="L715" s="120"/>
      <c r="M715" s="120">
        <v>235</v>
      </c>
      <c r="N715" s="120">
        <v>219</v>
      </c>
      <c r="O715" s="120">
        <v>604</v>
      </c>
      <c r="P715" s="120" t="s">
        <v>207</v>
      </c>
      <c r="Q715" s="120">
        <v>490</v>
      </c>
      <c r="R715" s="120" t="s">
        <v>207</v>
      </c>
      <c r="S715" s="120">
        <v>577</v>
      </c>
      <c r="T715" s="120" t="s">
        <v>207</v>
      </c>
      <c r="U715" s="120">
        <v>379</v>
      </c>
      <c r="V715" s="120" t="s">
        <v>207</v>
      </c>
      <c r="W715" s="120">
        <v>395</v>
      </c>
      <c r="X715" s="120" t="s">
        <v>207</v>
      </c>
      <c r="Y715" s="120">
        <v>240</v>
      </c>
      <c r="Z715" s="120" t="s">
        <v>207</v>
      </c>
      <c r="AA715" s="120">
        <v>584</v>
      </c>
      <c r="AB715" s="120" t="s">
        <v>207</v>
      </c>
      <c r="AC715" s="120">
        <v>120</v>
      </c>
      <c r="AD715" s="120" t="s">
        <v>207</v>
      </c>
      <c r="AE715" s="120">
        <v>250</v>
      </c>
      <c r="AF715" s="120" t="s">
        <v>207</v>
      </c>
      <c r="AG715" s="120">
        <v>101</v>
      </c>
      <c r="AH715" s="120" t="s">
        <v>207</v>
      </c>
      <c r="AI715" s="120">
        <v>39</v>
      </c>
      <c r="AJ715" s="120" t="s">
        <v>207</v>
      </c>
      <c r="AK715" s="120">
        <v>42</v>
      </c>
      <c r="AL715" s="120" t="s">
        <v>207</v>
      </c>
      <c r="AM715" s="117">
        <f t="shared" si="19"/>
        <v>3821</v>
      </c>
    </row>
    <row r="716" spans="1:39" s="90" customFormat="1" ht="18" customHeight="1" x14ac:dyDescent="0.3">
      <c r="A716" s="297">
        <v>431</v>
      </c>
      <c r="B716" s="11" t="s">
        <v>1123</v>
      </c>
      <c r="C716" s="88" t="s">
        <v>268</v>
      </c>
      <c r="D716" s="88" t="s">
        <v>958</v>
      </c>
      <c r="E716" s="31" t="s">
        <v>48</v>
      </c>
      <c r="F716" s="85" t="s">
        <v>49</v>
      </c>
      <c r="G716" s="375"/>
      <c r="H716" s="365">
        <v>21</v>
      </c>
      <c r="I716" s="379"/>
      <c r="J716" s="365">
        <v>4</v>
      </c>
      <c r="K716" s="120"/>
      <c r="L716" s="120"/>
      <c r="M716" s="120">
        <v>4709</v>
      </c>
      <c r="N716" s="120">
        <v>4836</v>
      </c>
      <c r="O716" s="120"/>
      <c r="P716" s="120" t="s">
        <v>207</v>
      </c>
      <c r="Q716" s="120"/>
      <c r="R716" s="120" t="s">
        <v>207</v>
      </c>
      <c r="S716" s="120"/>
      <c r="T716" s="120" t="s">
        <v>207</v>
      </c>
      <c r="U716" s="120"/>
      <c r="V716" s="120" t="s">
        <v>207</v>
      </c>
      <c r="W716" s="120"/>
      <c r="X716" s="120" t="s">
        <v>207</v>
      </c>
      <c r="Y716" s="120"/>
      <c r="Z716" s="120" t="s">
        <v>207</v>
      </c>
      <c r="AA716" s="120"/>
      <c r="AB716" s="120" t="s">
        <v>207</v>
      </c>
      <c r="AC716" s="120"/>
      <c r="AD716" s="120" t="s">
        <v>207</v>
      </c>
      <c r="AE716" s="120"/>
      <c r="AF716" s="120" t="s">
        <v>207</v>
      </c>
      <c r="AG716" s="120"/>
      <c r="AH716" s="120" t="s">
        <v>207</v>
      </c>
      <c r="AI716" s="120"/>
      <c r="AJ716" s="120" t="s">
        <v>207</v>
      </c>
      <c r="AK716" s="120"/>
      <c r="AL716" s="120" t="s">
        <v>207</v>
      </c>
      <c r="AM716" s="117">
        <f t="shared" si="19"/>
        <v>0</v>
      </c>
    </row>
    <row r="717" spans="1:39" s="90" customFormat="1" ht="18" customHeight="1" x14ac:dyDescent="0.3">
      <c r="A717" s="114">
        <v>432</v>
      </c>
      <c r="B717" s="11" t="s">
        <v>1124</v>
      </c>
      <c r="C717" s="88" t="s">
        <v>268</v>
      </c>
      <c r="D717" s="88" t="s">
        <v>958</v>
      </c>
      <c r="E717" s="31" t="s">
        <v>48</v>
      </c>
      <c r="F717" s="85" t="s">
        <v>49</v>
      </c>
      <c r="G717" s="375"/>
      <c r="H717" s="365">
        <v>7</v>
      </c>
      <c r="I717" s="379"/>
      <c r="J717" s="365">
        <v>1</v>
      </c>
      <c r="K717" s="120"/>
      <c r="L717" s="120"/>
      <c r="M717" s="120">
        <v>3174</v>
      </c>
      <c r="N717" s="120">
        <v>3791</v>
      </c>
      <c r="O717" s="120">
        <v>280</v>
      </c>
      <c r="P717" s="120" t="s">
        <v>207</v>
      </c>
      <c r="Q717" s="120">
        <v>212</v>
      </c>
      <c r="R717" s="120" t="s">
        <v>207</v>
      </c>
      <c r="S717" s="120">
        <v>169</v>
      </c>
      <c r="T717" s="120" t="s">
        <v>207</v>
      </c>
      <c r="U717" s="120">
        <v>156</v>
      </c>
      <c r="V717" s="120" t="s">
        <v>207</v>
      </c>
      <c r="W717" s="120">
        <v>138</v>
      </c>
      <c r="X717" s="120" t="s">
        <v>207</v>
      </c>
      <c r="Y717" s="120">
        <v>185</v>
      </c>
      <c r="Z717" s="120" t="s">
        <v>207</v>
      </c>
      <c r="AA717" s="120">
        <v>220</v>
      </c>
      <c r="AB717" s="120" t="s">
        <v>207</v>
      </c>
      <c r="AC717" s="120">
        <v>127</v>
      </c>
      <c r="AD717" s="120" t="s">
        <v>207</v>
      </c>
      <c r="AE717" s="120">
        <v>227</v>
      </c>
      <c r="AF717" s="120" t="s">
        <v>207</v>
      </c>
      <c r="AG717" s="120">
        <v>263</v>
      </c>
      <c r="AH717" s="120" t="s">
        <v>207</v>
      </c>
      <c r="AI717" s="120">
        <v>287</v>
      </c>
      <c r="AJ717" s="120" t="s">
        <v>207</v>
      </c>
      <c r="AK717" s="120">
        <v>398</v>
      </c>
      <c r="AL717" s="120" t="s">
        <v>207</v>
      </c>
      <c r="AM717" s="117">
        <f t="shared" si="19"/>
        <v>2662</v>
      </c>
    </row>
    <row r="718" spans="1:39" s="90" customFormat="1" ht="18" customHeight="1" x14ac:dyDescent="0.3">
      <c r="A718" s="114">
        <v>433</v>
      </c>
      <c r="B718" s="11" t="s">
        <v>1125</v>
      </c>
      <c r="C718" s="88" t="s">
        <v>268</v>
      </c>
      <c r="D718" s="88" t="s">
        <v>958</v>
      </c>
      <c r="E718" s="31" t="s">
        <v>48</v>
      </c>
      <c r="F718" s="85" t="s">
        <v>49</v>
      </c>
      <c r="G718" s="375"/>
      <c r="H718" s="365">
        <v>7</v>
      </c>
      <c r="I718" s="379"/>
      <c r="J718" s="365">
        <v>2</v>
      </c>
      <c r="K718" s="120"/>
      <c r="L718" s="120"/>
      <c r="M718" s="120"/>
      <c r="N718" s="120"/>
      <c r="O718" s="120"/>
      <c r="P718" s="120" t="s">
        <v>207</v>
      </c>
      <c r="Q718" s="120"/>
      <c r="R718" s="120" t="s">
        <v>207</v>
      </c>
      <c r="S718" s="120"/>
      <c r="T718" s="120" t="s">
        <v>207</v>
      </c>
      <c r="U718" s="120"/>
      <c r="V718" s="120" t="s">
        <v>207</v>
      </c>
      <c r="W718" s="120"/>
      <c r="X718" s="120" t="s">
        <v>207</v>
      </c>
      <c r="Y718" s="120"/>
      <c r="Z718" s="120" t="s">
        <v>207</v>
      </c>
      <c r="AA718" s="120"/>
      <c r="AB718" s="120" t="s">
        <v>207</v>
      </c>
      <c r="AC718" s="120"/>
      <c r="AD718" s="120" t="s">
        <v>207</v>
      </c>
      <c r="AE718" s="120"/>
      <c r="AF718" s="120" t="s">
        <v>207</v>
      </c>
      <c r="AG718" s="120"/>
      <c r="AH718" s="120" t="s">
        <v>207</v>
      </c>
      <c r="AI718" s="120"/>
      <c r="AJ718" s="120" t="s">
        <v>207</v>
      </c>
      <c r="AK718" s="120"/>
      <c r="AL718" s="120" t="s">
        <v>207</v>
      </c>
      <c r="AM718" s="117">
        <f t="shared" si="19"/>
        <v>0</v>
      </c>
    </row>
    <row r="719" spans="1:39" s="90" customFormat="1" ht="18" customHeight="1" x14ac:dyDescent="0.3">
      <c r="A719" s="297">
        <v>434</v>
      </c>
      <c r="B719" s="11" t="s">
        <v>1126</v>
      </c>
      <c r="C719" s="88" t="s">
        <v>268</v>
      </c>
      <c r="D719" s="88" t="s">
        <v>958</v>
      </c>
      <c r="E719" s="31" t="s">
        <v>48</v>
      </c>
      <c r="F719" s="85" t="s">
        <v>49</v>
      </c>
      <c r="G719" s="375"/>
      <c r="H719" s="365">
        <v>14</v>
      </c>
      <c r="I719" s="379"/>
      <c r="J719" s="365">
        <v>1</v>
      </c>
      <c r="K719" s="120"/>
      <c r="L719" s="120"/>
      <c r="M719" s="120"/>
      <c r="N719" s="120"/>
      <c r="O719" s="120"/>
      <c r="P719" s="120" t="s">
        <v>207</v>
      </c>
      <c r="Q719" s="120"/>
      <c r="R719" s="120" t="s">
        <v>207</v>
      </c>
      <c r="S719" s="120"/>
      <c r="T719" s="120" t="s">
        <v>207</v>
      </c>
      <c r="U719" s="120"/>
      <c r="V719" s="120" t="s">
        <v>207</v>
      </c>
      <c r="W719" s="120"/>
      <c r="X719" s="120" t="s">
        <v>207</v>
      </c>
      <c r="Y719" s="120"/>
      <c r="Z719" s="120" t="s">
        <v>207</v>
      </c>
      <c r="AA719" s="120"/>
      <c r="AB719" s="120" t="s">
        <v>207</v>
      </c>
      <c r="AC719" s="120"/>
      <c r="AD719" s="120" t="s">
        <v>207</v>
      </c>
      <c r="AE719" s="120"/>
      <c r="AF719" s="120" t="s">
        <v>207</v>
      </c>
      <c r="AG719" s="120"/>
      <c r="AH719" s="120" t="s">
        <v>207</v>
      </c>
      <c r="AI719" s="120"/>
      <c r="AJ719" s="120" t="s">
        <v>207</v>
      </c>
      <c r="AK719" s="120"/>
      <c r="AL719" s="120" t="s">
        <v>207</v>
      </c>
      <c r="AM719" s="117">
        <f t="shared" si="19"/>
        <v>0</v>
      </c>
    </row>
    <row r="720" spans="1:39" s="90" customFormat="1" ht="18" customHeight="1" x14ac:dyDescent="0.3">
      <c r="A720" s="114">
        <v>435</v>
      </c>
      <c r="B720" s="11" t="s">
        <v>1127</v>
      </c>
      <c r="C720" s="88" t="s">
        <v>268</v>
      </c>
      <c r="D720" s="88" t="s">
        <v>958</v>
      </c>
      <c r="E720" s="31" t="s">
        <v>48</v>
      </c>
      <c r="F720" s="85" t="s">
        <v>49</v>
      </c>
      <c r="G720" s="375"/>
      <c r="H720" s="365">
        <v>15</v>
      </c>
      <c r="I720" s="379"/>
      <c r="J720" s="365">
        <v>1</v>
      </c>
      <c r="K720" s="120"/>
      <c r="L720" s="120"/>
      <c r="M720" s="120">
        <v>3346</v>
      </c>
      <c r="N720" s="120">
        <v>1925</v>
      </c>
      <c r="O720" s="120">
        <v>222</v>
      </c>
      <c r="P720" s="120" t="s">
        <v>207</v>
      </c>
      <c r="Q720" s="120">
        <v>176</v>
      </c>
      <c r="R720" s="120" t="s">
        <v>207</v>
      </c>
      <c r="S720" s="120">
        <v>186</v>
      </c>
      <c r="T720" s="120" t="s">
        <v>207</v>
      </c>
      <c r="U720" s="120">
        <v>196</v>
      </c>
      <c r="V720" s="120" t="s">
        <v>207</v>
      </c>
      <c r="W720" s="120">
        <v>112</v>
      </c>
      <c r="X720" s="120" t="s">
        <v>207</v>
      </c>
      <c r="Y720" s="120">
        <v>161</v>
      </c>
      <c r="Z720" s="120" t="s">
        <v>207</v>
      </c>
      <c r="AA720" s="120">
        <v>95</v>
      </c>
      <c r="AB720" s="120" t="s">
        <v>207</v>
      </c>
      <c r="AC720" s="120">
        <v>166</v>
      </c>
      <c r="AD720" s="120" t="s">
        <v>207</v>
      </c>
      <c r="AE720" s="120">
        <v>283</v>
      </c>
      <c r="AF720" s="120" t="s">
        <v>207</v>
      </c>
      <c r="AG720" s="120">
        <v>285</v>
      </c>
      <c r="AH720" s="120" t="s">
        <v>207</v>
      </c>
      <c r="AI720" s="120">
        <v>186</v>
      </c>
      <c r="AJ720" s="120" t="s">
        <v>207</v>
      </c>
      <c r="AK720" s="120">
        <v>218</v>
      </c>
      <c r="AL720" s="120" t="s">
        <v>207</v>
      </c>
      <c r="AM720" s="117">
        <f t="shared" si="19"/>
        <v>2286</v>
      </c>
    </row>
    <row r="721" spans="1:39" s="90" customFormat="1" ht="18" customHeight="1" x14ac:dyDescent="0.3">
      <c r="A721" s="114">
        <v>436</v>
      </c>
      <c r="B721" s="11" t="s">
        <v>1128</v>
      </c>
      <c r="C721" s="88" t="s">
        <v>268</v>
      </c>
      <c r="D721" s="88" t="s">
        <v>958</v>
      </c>
      <c r="E721" s="31" t="s">
        <v>48</v>
      </c>
      <c r="F721" s="85" t="s">
        <v>49</v>
      </c>
      <c r="G721" s="375"/>
      <c r="H721" s="365">
        <v>14</v>
      </c>
      <c r="I721" s="379"/>
      <c r="J721" s="365">
        <v>1</v>
      </c>
      <c r="K721" s="120"/>
      <c r="L721" s="120"/>
      <c r="M721" s="120">
        <v>1328</v>
      </c>
      <c r="N721" s="120">
        <v>1382</v>
      </c>
      <c r="O721" s="120">
        <v>169</v>
      </c>
      <c r="P721" s="120" t="s">
        <v>207</v>
      </c>
      <c r="Q721" s="120">
        <v>157</v>
      </c>
      <c r="R721" s="120" t="s">
        <v>207</v>
      </c>
      <c r="S721" s="120">
        <v>127</v>
      </c>
      <c r="T721" s="120" t="s">
        <v>207</v>
      </c>
      <c r="U721" s="120">
        <v>128</v>
      </c>
      <c r="V721" s="120" t="s">
        <v>207</v>
      </c>
      <c r="W721" s="120">
        <v>28</v>
      </c>
      <c r="X721" s="120" t="s">
        <v>207</v>
      </c>
      <c r="Y721" s="120">
        <v>113</v>
      </c>
      <c r="Z721" s="120" t="s">
        <v>207</v>
      </c>
      <c r="AA721" s="120">
        <v>115</v>
      </c>
      <c r="AB721" s="120" t="s">
        <v>207</v>
      </c>
      <c r="AC721" s="120">
        <v>39</v>
      </c>
      <c r="AD721" s="120" t="s">
        <v>207</v>
      </c>
      <c r="AE721" s="120">
        <v>90</v>
      </c>
      <c r="AF721" s="120" t="s">
        <v>207</v>
      </c>
      <c r="AG721" s="120">
        <v>173</v>
      </c>
      <c r="AH721" s="120" t="s">
        <v>207</v>
      </c>
      <c r="AI721" s="120">
        <v>123</v>
      </c>
      <c r="AJ721" s="120" t="s">
        <v>207</v>
      </c>
      <c r="AK721" s="120">
        <v>240</v>
      </c>
      <c r="AL721" s="120" t="s">
        <v>207</v>
      </c>
      <c r="AM721" s="117">
        <f t="shared" si="19"/>
        <v>1502</v>
      </c>
    </row>
    <row r="722" spans="1:39" s="90" customFormat="1" ht="18" customHeight="1" x14ac:dyDescent="0.3">
      <c r="A722" s="297">
        <v>437</v>
      </c>
      <c r="B722" s="11" t="s">
        <v>1129</v>
      </c>
      <c r="C722" s="88" t="s">
        <v>268</v>
      </c>
      <c r="D722" s="88" t="s">
        <v>958</v>
      </c>
      <c r="E722" s="31" t="s">
        <v>48</v>
      </c>
      <c r="F722" s="85" t="s">
        <v>49</v>
      </c>
      <c r="G722" s="375"/>
      <c r="H722" s="365">
        <v>14</v>
      </c>
      <c r="I722" s="379"/>
      <c r="J722" s="365">
        <v>2</v>
      </c>
      <c r="K722" s="120"/>
      <c r="L722" s="120"/>
      <c r="M722" s="120">
        <v>7153</v>
      </c>
      <c r="N722" s="120">
        <v>7729</v>
      </c>
      <c r="O722" s="120">
        <v>622</v>
      </c>
      <c r="P722" s="120" t="s">
        <v>207</v>
      </c>
      <c r="Q722" s="120">
        <v>858</v>
      </c>
      <c r="R722" s="120" t="s">
        <v>207</v>
      </c>
      <c r="S722" s="120">
        <v>419</v>
      </c>
      <c r="T722" s="120" t="s">
        <v>207</v>
      </c>
      <c r="U722" s="120">
        <v>546</v>
      </c>
      <c r="V722" s="120" t="s">
        <v>207</v>
      </c>
      <c r="W722" s="120">
        <v>421</v>
      </c>
      <c r="X722" s="120" t="s">
        <v>207</v>
      </c>
      <c r="Y722" s="120">
        <v>433</v>
      </c>
      <c r="Z722" s="120" t="s">
        <v>207</v>
      </c>
      <c r="AA722" s="120">
        <v>462</v>
      </c>
      <c r="AB722" s="120" t="s">
        <v>207</v>
      </c>
      <c r="AC722" s="120">
        <v>550</v>
      </c>
      <c r="AD722" s="120" t="s">
        <v>207</v>
      </c>
      <c r="AE722" s="120">
        <v>284</v>
      </c>
      <c r="AF722" s="120" t="s">
        <v>207</v>
      </c>
      <c r="AG722" s="120">
        <v>514</v>
      </c>
      <c r="AH722" s="120" t="s">
        <v>207</v>
      </c>
      <c r="AI722" s="120">
        <v>513</v>
      </c>
      <c r="AJ722" s="120" t="s">
        <v>207</v>
      </c>
      <c r="AK722" s="120">
        <v>757</v>
      </c>
      <c r="AL722" s="120" t="s">
        <v>207</v>
      </c>
      <c r="AM722" s="117">
        <f t="shared" si="19"/>
        <v>6379</v>
      </c>
    </row>
    <row r="723" spans="1:39" s="90" customFormat="1" ht="18" customHeight="1" x14ac:dyDescent="0.3">
      <c r="A723" s="114">
        <v>438</v>
      </c>
      <c r="B723" s="11" t="s">
        <v>1130</v>
      </c>
      <c r="C723" s="88" t="s">
        <v>268</v>
      </c>
      <c r="D723" s="88" t="s">
        <v>958</v>
      </c>
      <c r="E723" s="31" t="s">
        <v>48</v>
      </c>
      <c r="F723" s="85" t="s">
        <v>49</v>
      </c>
      <c r="G723" s="375"/>
      <c r="H723" s="365">
        <v>8</v>
      </c>
      <c r="I723" s="379"/>
      <c r="J723" s="365">
        <v>1</v>
      </c>
      <c r="K723" s="120"/>
      <c r="L723" s="120"/>
      <c r="M723" s="120">
        <v>1309</v>
      </c>
      <c r="N723" s="120">
        <v>1442</v>
      </c>
      <c r="O723" s="120">
        <v>7</v>
      </c>
      <c r="P723" s="120" t="s">
        <v>207</v>
      </c>
      <c r="Q723" s="120">
        <v>104</v>
      </c>
      <c r="R723" s="120" t="s">
        <v>207</v>
      </c>
      <c r="S723" s="120">
        <v>124</v>
      </c>
      <c r="T723" s="120" t="s">
        <v>207</v>
      </c>
      <c r="U723" s="120">
        <v>1</v>
      </c>
      <c r="V723" s="120" t="s">
        <v>207</v>
      </c>
      <c r="W723" s="120">
        <v>22</v>
      </c>
      <c r="X723" s="120" t="s">
        <v>207</v>
      </c>
      <c r="Y723" s="120">
        <v>87</v>
      </c>
      <c r="Z723" s="120" t="s">
        <v>207</v>
      </c>
      <c r="AA723" s="120">
        <v>9</v>
      </c>
      <c r="AB723" s="120" t="s">
        <v>207</v>
      </c>
      <c r="AC723" s="120">
        <v>4</v>
      </c>
      <c r="AD723" s="120" t="s">
        <v>207</v>
      </c>
      <c r="AE723" s="120">
        <v>7</v>
      </c>
      <c r="AF723" s="120" t="s">
        <v>207</v>
      </c>
      <c r="AG723" s="120">
        <v>10</v>
      </c>
      <c r="AH723" s="120" t="s">
        <v>207</v>
      </c>
      <c r="AI723" s="120">
        <v>45</v>
      </c>
      <c r="AJ723" s="120" t="s">
        <v>207</v>
      </c>
      <c r="AK723" s="120">
        <v>145</v>
      </c>
      <c r="AL723" s="120" t="s">
        <v>207</v>
      </c>
      <c r="AM723" s="117">
        <f t="shared" si="19"/>
        <v>565</v>
      </c>
    </row>
    <row r="724" spans="1:39" s="90" customFormat="1" ht="18" customHeight="1" x14ac:dyDescent="0.3">
      <c r="A724" s="114">
        <v>439</v>
      </c>
      <c r="B724" s="11" t="s">
        <v>1131</v>
      </c>
      <c r="C724" s="88" t="s">
        <v>268</v>
      </c>
      <c r="D724" s="88" t="s">
        <v>958</v>
      </c>
      <c r="E724" s="31" t="s">
        <v>48</v>
      </c>
      <c r="F724" s="85" t="s">
        <v>49</v>
      </c>
      <c r="G724" s="375"/>
      <c r="H724" s="365">
        <v>8</v>
      </c>
      <c r="I724" s="379"/>
      <c r="J724" s="365">
        <v>1</v>
      </c>
      <c r="K724" s="120"/>
      <c r="L724" s="120"/>
      <c r="M724" s="120">
        <v>2669</v>
      </c>
      <c r="N724" s="120">
        <v>1602</v>
      </c>
      <c r="O724" s="120">
        <v>242</v>
      </c>
      <c r="P724" s="120" t="s">
        <v>207</v>
      </c>
      <c r="Q724" s="120">
        <v>212</v>
      </c>
      <c r="R724" s="120" t="s">
        <v>207</v>
      </c>
      <c r="S724" s="120">
        <v>186</v>
      </c>
      <c r="T724" s="120" t="s">
        <v>207</v>
      </c>
      <c r="U724" s="120">
        <v>194</v>
      </c>
      <c r="V724" s="120" t="s">
        <v>207</v>
      </c>
      <c r="W724" s="120">
        <v>54</v>
      </c>
      <c r="X724" s="120" t="s">
        <v>207</v>
      </c>
      <c r="Y724" s="120">
        <v>320</v>
      </c>
      <c r="Z724" s="120" t="s">
        <v>207</v>
      </c>
      <c r="AA724" s="120">
        <v>171</v>
      </c>
      <c r="AB724" s="120" t="s">
        <v>207</v>
      </c>
      <c r="AC724" s="120">
        <v>168</v>
      </c>
      <c r="AD724" s="120" t="s">
        <v>207</v>
      </c>
      <c r="AE724" s="120">
        <v>211</v>
      </c>
      <c r="AF724" s="120" t="s">
        <v>207</v>
      </c>
      <c r="AG724" s="120">
        <v>235</v>
      </c>
      <c r="AH724" s="120" t="s">
        <v>207</v>
      </c>
      <c r="AI724" s="120">
        <v>252</v>
      </c>
      <c r="AJ724" s="120" t="s">
        <v>207</v>
      </c>
      <c r="AK724" s="120">
        <v>82</v>
      </c>
      <c r="AL724" s="120" t="s">
        <v>207</v>
      </c>
      <c r="AM724" s="117">
        <f t="shared" si="19"/>
        <v>2327</v>
      </c>
    </row>
    <row r="725" spans="1:39" s="90" customFormat="1" ht="18" customHeight="1" x14ac:dyDescent="0.3">
      <c r="A725" s="297">
        <v>440</v>
      </c>
      <c r="B725" s="11" t="s">
        <v>1132</v>
      </c>
      <c r="C725" s="88" t="s">
        <v>268</v>
      </c>
      <c r="D725" s="88" t="s">
        <v>958</v>
      </c>
      <c r="E725" s="31" t="s">
        <v>48</v>
      </c>
      <c r="F725" s="85" t="s">
        <v>49</v>
      </c>
      <c r="G725" s="375"/>
      <c r="H725" s="365">
        <v>12</v>
      </c>
      <c r="I725" s="379"/>
      <c r="J725" s="365">
        <v>3</v>
      </c>
      <c r="K725" s="120"/>
      <c r="L725" s="120"/>
      <c r="M725" s="120">
        <v>8394</v>
      </c>
      <c r="N725" s="120">
        <v>5318</v>
      </c>
      <c r="O725" s="120">
        <v>1121</v>
      </c>
      <c r="P725" s="120" t="s">
        <v>207</v>
      </c>
      <c r="Q725" s="120">
        <v>552</v>
      </c>
      <c r="R725" s="120" t="s">
        <v>207</v>
      </c>
      <c r="S725" s="120">
        <v>483</v>
      </c>
      <c r="T725" s="120" t="s">
        <v>207</v>
      </c>
      <c r="U725" s="120">
        <v>495</v>
      </c>
      <c r="V725" s="120" t="s">
        <v>207</v>
      </c>
      <c r="W725" s="120">
        <v>459</v>
      </c>
      <c r="X725" s="120" t="s">
        <v>207</v>
      </c>
      <c r="Y725" s="120">
        <v>578</v>
      </c>
      <c r="Z725" s="120" t="s">
        <v>207</v>
      </c>
      <c r="AA725" s="120">
        <v>433</v>
      </c>
      <c r="AB725" s="120" t="s">
        <v>207</v>
      </c>
      <c r="AC725" s="120">
        <v>711</v>
      </c>
      <c r="AD725" s="120" t="s">
        <v>207</v>
      </c>
      <c r="AE725" s="120">
        <v>682</v>
      </c>
      <c r="AF725" s="120" t="s">
        <v>207</v>
      </c>
      <c r="AG725" s="120">
        <v>718</v>
      </c>
      <c r="AH725" s="120" t="s">
        <v>207</v>
      </c>
      <c r="AI725" s="120">
        <v>596</v>
      </c>
      <c r="AJ725" s="120" t="s">
        <v>207</v>
      </c>
      <c r="AK725" s="120">
        <v>741</v>
      </c>
      <c r="AL725" s="120" t="s">
        <v>207</v>
      </c>
      <c r="AM725" s="117">
        <f t="shared" si="19"/>
        <v>7569</v>
      </c>
    </row>
    <row r="726" spans="1:39" s="90" customFormat="1" ht="18" customHeight="1" x14ac:dyDescent="0.3">
      <c r="A726" s="114">
        <v>441</v>
      </c>
      <c r="B726" s="11" t="s">
        <v>1133</v>
      </c>
      <c r="C726" s="88" t="s">
        <v>268</v>
      </c>
      <c r="D726" s="88" t="s">
        <v>958</v>
      </c>
      <c r="E726" s="31" t="s">
        <v>48</v>
      </c>
      <c r="F726" s="85" t="s">
        <v>49</v>
      </c>
      <c r="G726" s="375"/>
      <c r="H726" s="365">
        <v>14</v>
      </c>
      <c r="I726" s="379"/>
      <c r="J726" s="365">
        <v>2</v>
      </c>
      <c r="K726" s="120"/>
      <c r="L726" s="120"/>
      <c r="M726" s="120"/>
      <c r="N726" s="120"/>
      <c r="O726" s="120"/>
      <c r="P726" s="120" t="s">
        <v>207</v>
      </c>
      <c r="Q726" s="120"/>
      <c r="R726" s="120" t="s">
        <v>207</v>
      </c>
      <c r="S726" s="120"/>
      <c r="T726" s="120" t="s">
        <v>207</v>
      </c>
      <c r="U726" s="120"/>
      <c r="V726" s="120" t="s">
        <v>207</v>
      </c>
      <c r="W726" s="120"/>
      <c r="X726" s="120" t="s">
        <v>207</v>
      </c>
      <c r="Y726" s="120"/>
      <c r="Z726" s="120" t="s">
        <v>207</v>
      </c>
      <c r="AA726" s="120"/>
      <c r="AB726" s="120" t="s">
        <v>207</v>
      </c>
      <c r="AC726" s="120"/>
      <c r="AD726" s="120" t="s">
        <v>207</v>
      </c>
      <c r="AE726" s="120"/>
      <c r="AF726" s="120" t="s">
        <v>207</v>
      </c>
      <c r="AG726" s="120"/>
      <c r="AH726" s="120" t="s">
        <v>207</v>
      </c>
      <c r="AI726" s="120"/>
      <c r="AJ726" s="120" t="s">
        <v>207</v>
      </c>
      <c r="AK726" s="120"/>
      <c r="AL726" s="120" t="s">
        <v>207</v>
      </c>
      <c r="AM726" s="117">
        <f t="shared" si="19"/>
        <v>0</v>
      </c>
    </row>
    <row r="727" spans="1:39" s="90" customFormat="1" ht="18" customHeight="1" x14ac:dyDescent="0.3">
      <c r="A727" s="114">
        <v>442</v>
      </c>
      <c r="B727" s="11" t="s">
        <v>1134</v>
      </c>
      <c r="C727" s="88" t="s">
        <v>268</v>
      </c>
      <c r="D727" s="88" t="s">
        <v>958</v>
      </c>
      <c r="E727" s="31" t="s">
        <v>48</v>
      </c>
      <c r="F727" s="85" t="s">
        <v>49</v>
      </c>
      <c r="G727" s="375"/>
      <c r="H727" s="365">
        <v>25</v>
      </c>
      <c r="I727" s="379"/>
      <c r="J727" s="365">
        <v>1</v>
      </c>
      <c r="K727" s="120"/>
      <c r="L727" s="120"/>
      <c r="M727" s="120"/>
      <c r="N727" s="120"/>
      <c r="O727" s="120"/>
      <c r="P727" s="120" t="s">
        <v>207</v>
      </c>
      <c r="Q727" s="120"/>
      <c r="R727" s="120" t="s">
        <v>207</v>
      </c>
      <c r="S727" s="120"/>
      <c r="T727" s="120" t="s">
        <v>207</v>
      </c>
      <c r="U727" s="120"/>
      <c r="V727" s="120" t="s">
        <v>207</v>
      </c>
      <c r="W727" s="120"/>
      <c r="X727" s="120" t="s">
        <v>207</v>
      </c>
      <c r="Y727" s="120"/>
      <c r="Z727" s="120" t="s">
        <v>207</v>
      </c>
      <c r="AA727" s="120"/>
      <c r="AB727" s="120" t="s">
        <v>207</v>
      </c>
      <c r="AC727" s="120"/>
      <c r="AD727" s="120" t="s">
        <v>207</v>
      </c>
      <c r="AE727" s="120"/>
      <c r="AF727" s="120" t="s">
        <v>207</v>
      </c>
      <c r="AG727" s="120"/>
      <c r="AH727" s="120" t="s">
        <v>207</v>
      </c>
      <c r="AI727" s="120"/>
      <c r="AJ727" s="120" t="s">
        <v>207</v>
      </c>
      <c r="AK727" s="120"/>
      <c r="AL727" s="120" t="s">
        <v>207</v>
      </c>
      <c r="AM727" s="117">
        <f t="shared" si="19"/>
        <v>0</v>
      </c>
    </row>
    <row r="728" spans="1:39" s="90" customFormat="1" ht="18" customHeight="1" x14ac:dyDescent="0.3">
      <c r="A728" s="297">
        <v>443</v>
      </c>
      <c r="B728" s="11" t="s">
        <v>1135</v>
      </c>
      <c r="C728" s="88" t="s">
        <v>268</v>
      </c>
      <c r="D728" s="88" t="s">
        <v>958</v>
      </c>
      <c r="E728" s="31" t="s">
        <v>48</v>
      </c>
      <c r="F728" s="85" t="s">
        <v>49</v>
      </c>
      <c r="G728" s="375"/>
      <c r="H728" s="365">
        <v>12</v>
      </c>
      <c r="I728" s="379"/>
      <c r="J728" s="365">
        <v>1</v>
      </c>
      <c r="K728" s="120"/>
      <c r="L728" s="120"/>
      <c r="M728" s="120"/>
      <c r="N728" s="120"/>
      <c r="O728" s="120"/>
      <c r="P728" s="120" t="s">
        <v>207</v>
      </c>
      <c r="Q728" s="120"/>
      <c r="R728" s="120" t="s">
        <v>207</v>
      </c>
      <c r="S728" s="120"/>
      <c r="T728" s="120" t="s">
        <v>207</v>
      </c>
      <c r="U728" s="120"/>
      <c r="V728" s="120" t="s">
        <v>207</v>
      </c>
      <c r="W728" s="120"/>
      <c r="X728" s="120" t="s">
        <v>207</v>
      </c>
      <c r="Y728" s="120"/>
      <c r="Z728" s="120" t="s">
        <v>207</v>
      </c>
      <c r="AA728" s="120"/>
      <c r="AB728" s="120" t="s">
        <v>207</v>
      </c>
      <c r="AC728" s="120"/>
      <c r="AD728" s="120" t="s">
        <v>207</v>
      </c>
      <c r="AE728" s="120"/>
      <c r="AF728" s="120" t="s">
        <v>207</v>
      </c>
      <c r="AG728" s="120"/>
      <c r="AH728" s="120" t="s">
        <v>207</v>
      </c>
      <c r="AI728" s="120"/>
      <c r="AJ728" s="120" t="s">
        <v>207</v>
      </c>
      <c r="AK728" s="120"/>
      <c r="AL728" s="120" t="s">
        <v>207</v>
      </c>
      <c r="AM728" s="117">
        <f t="shared" si="19"/>
        <v>0</v>
      </c>
    </row>
    <row r="729" spans="1:39" s="90" customFormat="1" ht="18" customHeight="1" x14ac:dyDescent="0.3">
      <c r="A729" s="114">
        <v>444</v>
      </c>
      <c r="B729" s="11" t="s">
        <v>1136</v>
      </c>
      <c r="C729" s="88" t="s">
        <v>268</v>
      </c>
      <c r="D729" s="88" t="s">
        <v>958</v>
      </c>
      <c r="E729" s="31" t="s">
        <v>48</v>
      </c>
      <c r="F729" s="85" t="s">
        <v>49</v>
      </c>
      <c r="G729" s="375"/>
      <c r="H729" s="365">
        <v>8</v>
      </c>
      <c r="I729" s="379"/>
      <c r="J729" s="365">
        <v>1</v>
      </c>
      <c r="K729" s="120"/>
      <c r="L729" s="120"/>
      <c r="M729" s="120">
        <v>3089</v>
      </c>
      <c r="N729" s="120">
        <v>1813</v>
      </c>
      <c r="O729" s="120">
        <v>317</v>
      </c>
      <c r="P729" s="120" t="s">
        <v>207</v>
      </c>
      <c r="Q729" s="120">
        <v>160</v>
      </c>
      <c r="R729" s="120" t="s">
        <v>207</v>
      </c>
      <c r="S729" s="120">
        <v>263</v>
      </c>
      <c r="T729" s="120" t="s">
        <v>207</v>
      </c>
      <c r="U729" s="120">
        <v>226</v>
      </c>
      <c r="V729" s="120" t="s">
        <v>207</v>
      </c>
      <c r="W729" s="120">
        <v>196</v>
      </c>
      <c r="X729" s="120" t="s">
        <v>207</v>
      </c>
      <c r="Y729" s="120">
        <v>277</v>
      </c>
      <c r="Z729" s="120" t="s">
        <v>207</v>
      </c>
      <c r="AA729" s="120">
        <v>166</v>
      </c>
      <c r="AB729" s="120" t="s">
        <v>207</v>
      </c>
      <c r="AC729" s="120">
        <v>32</v>
      </c>
      <c r="AD729" s="120" t="s">
        <v>207</v>
      </c>
      <c r="AE729" s="120">
        <v>478</v>
      </c>
      <c r="AF729" s="120" t="s">
        <v>207</v>
      </c>
      <c r="AG729" s="120">
        <v>153</v>
      </c>
      <c r="AH729" s="120" t="s">
        <v>207</v>
      </c>
      <c r="AI729" s="120">
        <v>270</v>
      </c>
      <c r="AJ729" s="120" t="s">
        <v>207</v>
      </c>
      <c r="AK729" s="120">
        <v>187</v>
      </c>
      <c r="AL729" s="120" t="s">
        <v>207</v>
      </c>
      <c r="AM729" s="117">
        <f t="shared" si="19"/>
        <v>2725</v>
      </c>
    </row>
    <row r="730" spans="1:39" s="90" customFormat="1" ht="18" customHeight="1" x14ac:dyDescent="0.3">
      <c r="A730" s="114">
        <v>445</v>
      </c>
      <c r="B730" s="11" t="s">
        <v>1137</v>
      </c>
      <c r="C730" s="88" t="s">
        <v>268</v>
      </c>
      <c r="D730" s="88" t="s">
        <v>958</v>
      </c>
      <c r="E730" s="31" t="s">
        <v>48</v>
      </c>
      <c r="F730" s="85" t="s">
        <v>49</v>
      </c>
      <c r="G730" s="375"/>
      <c r="H730" s="365">
        <v>8</v>
      </c>
      <c r="I730" s="379"/>
      <c r="J730" s="365">
        <v>1</v>
      </c>
      <c r="K730" s="120"/>
      <c r="L730" s="120"/>
      <c r="M730" s="120">
        <v>2072</v>
      </c>
      <c r="N730" s="120">
        <v>1286</v>
      </c>
      <c r="O730" s="120">
        <v>257</v>
      </c>
      <c r="P730" s="120" t="s">
        <v>207</v>
      </c>
      <c r="Q730" s="120">
        <v>147</v>
      </c>
      <c r="R730" s="120" t="s">
        <v>207</v>
      </c>
      <c r="S730" s="120">
        <v>232</v>
      </c>
      <c r="T730" s="120" t="s">
        <v>207</v>
      </c>
      <c r="U730" s="120">
        <v>209</v>
      </c>
      <c r="V730" s="120" t="s">
        <v>207</v>
      </c>
      <c r="W730" s="120">
        <v>171</v>
      </c>
      <c r="X730" s="120" t="s">
        <v>207</v>
      </c>
      <c r="Y730" s="120">
        <v>274</v>
      </c>
      <c r="Z730" s="120" t="s">
        <v>207</v>
      </c>
      <c r="AA730" s="120">
        <v>294</v>
      </c>
      <c r="AB730" s="120" t="s">
        <v>207</v>
      </c>
      <c r="AC730" s="120">
        <v>254</v>
      </c>
      <c r="AD730" s="120" t="s">
        <v>207</v>
      </c>
      <c r="AE730" s="120">
        <v>0</v>
      </c>
      <c r="AF730" s="120" t="s">
        <v>207</v>
      </c>
      <c r="AG730" s="120">
        <v>120</v>
      </c>
      <c r="AH730" s="120" t="s">
        <v>207</v>
      </c>
      <c r="AI730" s="120">
        <v>211</v>
      </c>
      <c r="AJ730" s="120" t="s">
        <v>207</v>
      </c>
      <c r="AK730" s="120">
        <v>131</v>
      </c>
      <c r="AL730" s="120" t="s">
        <v>207</v>
      </c>
      <c r="AM730" s="117">
        <f t="shared" si="19"/>
        <v>2300</v>
      </c>
    </row>
    <row r="731" spans="1:39" s="90" customFormat="1" ht="18" customHeight="1" x14ac:dyDescent="0.3">
      <c r="A731" s="297">
        <v>446</v>
      </c>
      <c r="B731" s="11" t="s">
        <v>1138</v>
      </c>
      <c r="C731" s="88" t="s">
        <v>268</v>
      </c>
      <c r="D731" s="88" t="s">
        <v>958</v>
      </c>
      <c r="E731" s="31" t="s">
        <v>48</v>
      </c>
      <c r="F731" s="85" t="s">
        <v>49</v>
      </c>
      <c r="G731" s="375"/>
      <c r="H731" s="365">
        <v>12</v>
      </c>
      <c r="I731" s="379"/>
      <c r="J731" s="365">
        <v>1</v>
      </c>
      <c r="K731" s="120"/>
      <c r="L731" s="120"/>
      <c r="M731" s="120">
        <v>1783</v>
      </c>
      <c r="N731" s="120">
        <v>2725</v>
      </c>
      <c r="O731" s="120">
        <v>229</v>
      </c>
      <c r="P731" s="120" t="s">
        <v>207</v>
      </c>
      <c r="Q731" s="120">
        <v>202</v>
      </c>
      <c r="R731" s="120" t="s">
        <v>207</v>
      </c>
      <c r="S731" s="120">
        <v>92</v>
      </c>
      <c r="T731" s="120" t="s">
        <v>207</v>
      </c>
      <c r="U731" s="120">
        <v>142</v>
      </c>
      <c r="V731" s="120" t="s">
        <v>207</v>
      </c>
      <c r="W731" s="120">
        <v>111</v>
      </c>
      <c r="X731" s="120" t="s">
        <v>207</v>
      </c>
      <c r="Y731" s="120">
        <v>82</v>
      </c>
      <c r="Z731" s="120" t="s">
        <v>207</v>
      </c>
      <c r="AA731" s="120">
        <v>58</v>
      </c>
      <c r="AB731" s="120" t="s">
        <v>207</v>
      </c>
      <c r="AC731" s="120">
        <v>120</v>
      </c>
      <c r="AD731" s="120" t="s">
        <v>207</v>
      </c>
      <c r="AE731" s="120">
        <v>130</v>
      </c>
      <c r="AF731" s="120" t="s">
        <v>207</v>
      </c>
      <c r="AG731" s="120">
        <v>168</v>
      </c>
      <c r="AH731" s="120" t="s">
        <v>207</v>
      </c>
      <c r="AI731" s="120">
        <v>166</v>
      </c>
      <c r="AJ731" s="120" t="s">
        <v>207</v>
      </c>
      <c r="AK731" s="120">
        <v>241</v>
      </c>
      <c r="AL731" s="120" t="s">
        <v>207</v>
      </c>
      <c r="AM731" s="117">
        <f t="shared" si="19"/>
        <v>1741</v>
      </c>
    </row>
    <row r="732" spans="1:39" s="90" customFormat="1" ht="18" customHeight="1" x14ac:dyDescent="0.3">
      <c r="A732" s="114">
        <v>447</v>
      </c>
      <c r="B732" s="11" t="s">
        <v>1139</v>
      </c>
      <c r="C732" s="88" t="s">
        <v>268</v>
      </c>
      <c r="D732" s="88" t="s">
        <v>958</v>
      </c>
      <c r="E732" s="31" t="s">
        <v>48</v>
      </c>
      <c r="F732" s="85" t="s">
        <v>49</v>
      </c>
      <c r="G732" s="375"/>
      <c r="H732" s="365">
        <v>14</v>
      </c>
      <c r="I732" s="379"/>
      <c r="J732" s="365">
        <v>1</v>
      </c>
      <c r="K732" s="120"/>
      <c r="L732" s="120"/>
      <c r="M732" s="120">
        <v>3137</v>
      </c>
      <c r="N732" s="120">
        <v>3242</v>
      </c>
      <c r="O732" s="120">
        <v>511</v>
      </c>
      <c r="P732" s="120" t="s">
        <v>207</v>
      </c>
      <c r="Q732" s="120">
        <v>384</v>
      </c>
      <c r="R732" s="120" t="s">
        <v>207</v>
      </c>
      <c r="S732" s="120">
        <v>284</v>
      </c>
      <c r="T732" s="120" t="s">
        <v>207</v>
      </c>
      <c r="U732" s="120">
        <v>228</v>
      </c>
      <c r="V732" s="120" t="s">
        <v>207</v>
      </c>
      <c r="W732" s="120">
        <v>298</v>
      </c>
      <c r="X732" s="120" t="s">
        <v>207</v>
      </c>
      <c r="Y732" s="120">
        <v>71</v>
      </c>
      <c r="Z732" s="120" t="s">
        <v>207</v>
      </c>
      <c r="AA732" s="120">
        <v>209</v>
      </c>
      <c r="AB732" s="120" t="s">
        <v>207</v>
      </c>
      <c r="AC732" s="120">
        <v>139</v>
      </c>
      <c r="AD732" s="120" t="s">
        <v>207</v>
      </c>
      <c r="AE732" s="120">
        <v>312</v>
      </c>
      <c r="AF732" s="120" t="s">
        <v>207</v>
      </c>
      <c r="AG732" s="120">
        <v>269</v>
      </c>
      <c r="AH732" s="120" t="s">
        <v>207</v>
      </c>
      <c r="AI732" s="120">
        <v>193</v>
      </c>
      <c r="AJ732" s="120" t="s">
        <v>207</v>
      </c>
      <c r="AK732" s="120">
        <v>326</v>
      </c>
      <c r="AL732" s="120" t="s">
        <v>207</v>
      </c>
      <c r="AM732" s="117">
        <f t="shared" si="19"/>
        <v>3224</v>
      </c>
    </row>
    <row r="733" spans="1:39" s="90" customFormat="1" ht="18" customHeight="1" x14ac:dyDescent="0.3">
      <c r="A733" s="114">
        <v>448</v>
      </c>
      <c r="B733" s="11" t="s">
        <v>1140</v>
      </c>
      <c r="C733" s="88" t="s">
        <v>268</v>
      </c>
      <c r="D733" s="88" t="s">
        <v>958</v>
      </c>
      <c r="E733" s="31" t="s">
        <v>48</v>
      </c>
      <c r="F733" s="85" t="s">
        <v>49</v>
      </c>
      <c r="G733" s="375"/>
      <c r="H733" s="365">
        <v>6</v>
      </c>
      <c r="I733" s="379"/>
      <c r="J733" s="365">
        <v>2</v>
      </c>
      <c r="K733" s="120"/>
      <c r="L733" s="120"/>
      <c r="M733" s="120">
        <v>3877</v>
      </c>
      <c r="N733" s="120">
        <v>2833</v>
      </c>
      <c r="O733" s="120">
        <v>455</v>
      </c>
      <c r="P733" s="120" t="s">
        <v>207</v>
      </c>
      <c r="Q733" s="120">
        <v>479</v>
      </c>
      <c r="R733" s="120" t="s">
        <v>207</v>
      </c>
      <c r="S733" s="120">
        <v>276</v>
      </c>
      <c r="T733" s="120" t="s">
        <v>207</v>
      </c>
      <c r="U733" s="120">
        <v>280</v>
      </c>
      <c r="V733" s="120" t="s">
        <v>207</v>
      </c>
      <c r="W733" s="120">
        <v>297</v>
      </c>
      <c r="X733" s="120" t="s">
        <v>207</v>
      </c>
      <c r="Y733" s="120">
        <v>232</v>
      </c>
      <c r="Z733" s="120" t="s">
        <v>207</v>
      </c>
      <c r="AA733" s="120">
        <v>286</v>
      </c>
      <c r="AB733" s="120" t="s">
        <v>207</v>
      </c>
      <c r="AC733" s="120">
        <v>236</v>
      </c>
      <c r="AD733" s="120" t="s">
        <v>207</v>
      </c>
      <c r="AE733" s="120">
        <v>389</v>
      </c>
      <c r="AF733" s="120" t="s">
        <v>207</v>
      </c>
      <c r="AG733" s="120">
        <v>334</v>
      </c>
      <c r="AH733" s="120" t="s">
        <v>207</v>
      </c>
      <c r="AI733" s="120">
        <v>374</v>
      </c>
      <c r="AJ733" s="120" t="s">
        <v>207</v>
      </c>
      <c r="AK733" s="120">
        <v>488</v>
      </c>
      <c r="AL733" s="120" t="s">
        <v>207</v>
      </c>
      <c r="AM733" s="117">
        <f t="shared" si="19"/>
        <v>4126</v>
      </c>
    </row>
    <row r="734" spans="1:39" s="90" customFormat="1" ht="18" customHeight="1" x14ac:dyDescent="0.3">
      <c r="A734" s="297">
        <v>449</v>
      </c>
      <c r="B734" s="11" t="s">
        <v>1141</v>
      </c>
      <c r="C734" s="88" t="s">
        <v>268</v>
      </c>
      <c r="D734" s="88" t="s">
        <v>958</v>
      </c>
      <c r="E734" s="31" t="s">
        <v>48</v>
      </c>
      <c r="F734" s="85" t="s">
        <v>49</v>
      </c>
      <c r="G734" s="375"/>
      <c r="H734" s="365">
        <v>7</v>
      </c>
      <c r="I734" s="379"/>
      <c r="J734" s="365">
        <v>1</v>
      </c>
      <c r="K734" s="120"/>
      <c r="L734" s="120"/>
      <c r="M734" s="120">
        <v>3182</v>
      </c>
      <c r="N734" s="120">
        <v>3193</v>
      </c>
      <c r="O734" s="120">
        <v>482</v>
      </c>
      <c r="P734" s="120" t="s">
        <v>207</v>
      </c>
      <c r="Q734" s="120">
        <v>341</v>
      </c>
      <c r="R734" s="120" t="s">
        <v>207</v>
      </c>
      <c r="S734" s="120">
        <v>341</v>
      </c>
      <c r="T734" s="120" t="s">
        <v>207</v>
      </c>
      <c r="U734" s="120">
        <v>241</v>
      </c>
      <c r="V734" s="120" t="s">
        <v>207</v>
      </c>
      <c r="W734" s="120">
        <v>160</v>
      </c>
      <c r="X734" s="120" t="s">
        <v>207</v>
      </c>
      <c r="Y734" s="120">
        <v>229</v>
      </c>
      <c r="Z734" s="120" t="s">
        <v>207</v>
      </c>
      <c r="AA734" s="120">
        <v>424</v>
      </c>
      <c r="AB734" s="120" t="s">
        <v>207</v>
      </c>
      <c r="AC734" s="120">
        <v>153</v>
      </c>
      <c r="AD734" s="120" t="s">
        <v>207</v>
      </c>
      <c r="AE734" s="120">
        <v>321</v>
      </c>
      <c r="AF734" s="120" t="s">
        <v>207</v>
      </c>
      <c r="AG734" s="120">
        <v>475</v>
      </c>
      <c r="AH734" s="120" t="s">
        <v>207</v>
      </c>
      <c r="AI734" s="120">
        <v>85</v>
      </c>
      <c r="AJ734" s="120" t="s">
        <v>207</v>
      </c>
      <c r="AK734" s="120">
        <v>294</v>
      </c>
      <c r="AL734" s="120" t="s">
        <v>207</v>
      </c>
      <c r="AM734" s="117">
        <f t="shared" si="19"/>
        <v>3546</v>
      </c>
    </row>
    <row r="735" spans="1:39" s="90" customFormat="1" ht="18" customHeight="1" x14ac:dyDescent="0.3">
      <c r="A735" s="114">
        <v>450</v>
      </c>
      <c r="B735" s="11" t="s">
        <v>1142</v>
      </c>
      <c r="C735" s="88" t="s">
        <v>268</v>
      </c>
      <c r="D735" s="88" t="s">
        <v>958</v>
      </c>
      <c r="E735" s="31" t="s">
        <v>48</v>
      </c>
      <c r="F735" s="85" t="s">
        <v>49</v>
      </c>
      <c r="G735" s="375"/>
      <c r="H735" s="365">
        <v>7</v>
      </c>
      <c r="I735" s="379"/>
      <c r="J735" s="365">
        <v>1</v>
      </c>
      <c r="K735" s="120"/>
      <c r="L735" s="120"/>
      <c r="M735" s="120">
        <v>785</v>
      </c>
      <c r="N735" s="120">
        <v>700</v>
      </c>
      <c r="O735" s="120">
        <v>93</v>
      </c>
      <c r="P735" s="120" t="s">
        <v>207</v>
      </c>
      <c r="Q735" s="120">
        <v>72</v>
      </c>
      <c r="R735" s="120" t="s">
        <v>207</v>
      </c>
      <c r="S735" s="120">
        <v>112</v>
      </c>
      <c r="T735" s="120" t="s">
        <v>207</v>
      </c>
      <c r="U735" s="120">
        <v>53</v>
      </c>
      <c r="V735" s="120" t="s">
        <v>207</v>
      </c>
      <c r="W735" s="120">
        <v>35</v>
      </c>
      <c r="X735" s="120" t="s">
        <v>207</v>
      </c>
      <c r="Y735" s="120">
        <v>65</v>
      </c>
      <c r="Z735" s="120" t="s">
        <v>207</v>
      </c>
      <c r="AA735" s="120">
        <v>47</v>
      </c>
      <c r="AB735" s="120" t="s">
        <v>207</v>
      </c>
      <c r="AC735" s="120">
        <v>39</v>
      </c>
      <c r="AD735" s="120" t="s">
        <v>207</v>
      </c>
      <c r="AE735" s="120">
        <v>66</v>
      </c>
      <c r="AF735" s="120" t="s">
        <v>207</v>
      </c>
      <c r="AG735" s="120">
        <v>70</v>
      </c>
      <c r="AH735" s="120" t="s">
        <v>207</v>
      </c>
      <c r="AI735" s="120">
        <v>83</v>
      </c>
      <c r="AJ735" s="120" t="s">
        <v>207</v>
      </c>
      <c r="AK735" s="120">
        <v>94</v>
      </c>
      <c r="AL735" s="120" t="s">
        <v>207</v>
      </c>
      <c r="AM735" s="117">
        <f t="shared" si="19"/>
        <v>829</v>
      </c>
    </row>
    <row r="736" spans="1:39" s="90" customFormat="1" ht="18" customHeight="1" x14ac:dyDescent="0.3">
      <c r="A736" s="114">
        <v>451</v>
      </c>
      <c r="B736" s="11" t="s">
        <v>1143</v>
      </c>
      <c r="C736" s="88" t="s">
        <v>268</v>
      </c>
      <c r="D736" s="88" t="s">
        <v>958</v>
      </c>
      <c r="E736" s="31" t="s">
        <v>48</v>
      </c>
      <c r="F736" s="85" t="s">
        <v>49</v>
      </c>
      <c r="G736" s="375"/>
      <c r="H736" s="365">
        <v>7</v>
      </c>
      <c r="I736" s="379"/>
      <c r="J736" s="365">
        <v>1</v>
      </c>
      <c r="K736" s="120"/>
      <c r="L736" s="120"/>
      <c r="M736" s="120">
        <v>3042</v>
      </c>
      <c r="N736" s="120">
        <v>3664</v>
      </c>
      <c r="O736" s="120">
        <v>68</v>
      </c>
      <c r="P736" s="120" t="s">
        <v>207</v>
      </c>
      <c r="Q736" s="120">
        <v>28</v>
      </c>
      <c r="R736" s="120" t="s">
        <v>207</v>
      </c>
      <c r="S736" s="120">
        <v>43</v>
      </c>
      <c r="T736" s="120" t="s">
        <v>207</v>
      </c>
      <c r="U736" s="120">
        <v>60</v>
      </c>
      <c r="V736" s="120" t="s">
        <v>207</v>
      </c>
      <c r="W736" s="120">
        <v>36</v>
      </c>
      <c r="X736" s="120" t="s">
        <v>207</v>
      </c>
      <c r="Y736" s="120">
        <v>54</v>
      </c>
      <c r="Z736" s="120" t="s">
        <v>207</v>
      </c>
      <c r="AA736" s="120">
        <v>37</v>
      </c>
      <c r="AB736" s="120" t="s">
        <v>207</v>
      </c>
      <c r="AC736" s="120">
        <v>38</v>
      </c>
      <c r="AD736" s="120" t="s">
        <v>207</v>
      </c>
      <c r="AE736" s="120">
        <v>53</v>
      </c>
      <c r="AF736" s="120" t="s">
        <v>207</v>
      </c>
      <c r="AG736" s="120">
        <v>36</v>
      </c>
      <c r="AH736" s="120" t="s">
        <v>207</v>
      </c>
      <c r="AI736" s="120">
        <v>19</v>
      </c>
      <c r="AJ736" s="120" t="s">
        <v>207</v>
      </c>
      <c r="AK736" s="120">
        <v>72</v>
      </c>
      <c r="AL736" s="120" t="s">
        <v>207</v>
      </c>
      <c r="AM736" s="117">
        <f t="shared" si="19"/>
        <v>544</v>
      </c>
    </row>
    <row r="737" spans="1:39" s="90" customFormat="1" ht="18" customHeight="1" x14ac:dyDescent="0.3">
      <c r="A737" s="297">
        <v>452</v>
      </c>
      <c r="B737" s="11" t="s">
        <v>1144</v>
      </c>
      <c r="C737" s="88" t="s">
        <v>268</v>
      </c>
      <c r="D737" s="88" t="s">
        <v>958</v>
      </c>
      <c r="E737" s="31" t="s">
        <v>48</v>
      </c>
      <c r="F737" s="85" t="s">
        <v>49</v>
      </c>
      <c r="G737" s="375"/>
      <c r="H737" s="365">
        <v>156</v>
      </c>
      <c r="I737" s="379"/>
      <c r="J737" s="365">
        <v>13</v>
      </c>
      <c r="K737" s="120"/>
      <c r="L737" s="120"/>
      <c r="M737" s="120">
        <v>47757</v>
      </c>
      <c r="N737" s="120">
        <v>19853</v>
      </c>
      <c r="O737" s="120">
        <v>2844</v>
      </c>
      <c r="P737" s="120" t="s">
        <v>207</v>
      </c>
      <c r="Q737" s="120">
        <v>2358</v>
      </c>
      <c r="R737" s="120" t="s">
        <v>207</v>
      </c>
      <c r="S737" s="120">
        <v>1970</v>
      </c>
      <c r="T737" s="120" t="s">
        <v>207</v>
      </c>
      <c r="U737" s="120">
        <v>1555</v>
      </c>
      <c r="V737" s="120" t="s">
        <v>207</v>
      </c>
      <c r="W737" s="120">
        <v>1190</v>
      </c>
      <c r="X737" s="120" t="s">
        <v>207</v>
      </c>
      <c r="Y737" s="120">
        <v>574</v>
      </c>
      <c r="Z737" s="120" t="s">
        <v>207</v>
      </c>
      <c r="AA737" s="120">
        <v>533</v>
      </c>
      <c r="AB737" s="120" t="s">
        <v>207</v>
      </c>
      <c r="AC737" s="120">
        <v>749</v>
      </c>
      <c r="AD737" s="120" t="s">
        <v>207</v>
      </c>
      <c r="AE737" s="120">
        <v>1196</v>
      </c>
      <c r="AF737" s="120" t="s">
        <v>207</v>
      </c>
      <c r="AG737" s="120">
        <v>1454</v>
      </c>
      <c r="AH737" s="120" t="s">
        <v>207</v>
      </c>
      <c r="AI737" s="120">
        <v>1129</v>
      </c>
      <c r="AJ737" s="120" t="s">
        <v>207</v>
      </c>
      <c r="AK737" s="120">
        <v>3284</v>
      </c>
      <c r="AL737" s="120" t="s">
        <v>207</v>
      </c>
      <c r="AM737" s="117">
        <f t="shared" si="19"/>
        <v>18836</v>
      </c>
    </row>
    <row r="738" spans="1:39" s="90" customFormat="1" ht="18" customHeight="1" x14ac:dyDescent="0.3">
      <c r="A738" s="114">
        <v>453</v>
      </c>
      <c r="B738" s="11" t="s">
        <v>1145</v>
      </c>
      <c r="C738" s="88" t="s">
        <v>268</v>
      </c>
      <c r="D738" s="88" t="s">
        <v>958</v>
      </c>
      <c r="E738" s="31" t="s">
        <v>48</v>
      </c>
      <c r="F738" s="85" t="s">
        <v>49</v>
      </c>
      <c r="G738" s="375"/>
      <c r="H738" s="365">
        <v>147</v>
      </c>
      <c r="I738" s="379"/>
      <c r="J738" s="365">
        <v>13</v>
      </c>
      <c r="K738" s="120"/>
      <c r="L738" s="120"/>
      <c r="M738" s="120">
        <v>81280</v>
      </c>
      <c r="N738" s="120">
        <v>38949</v>
      </c>
      <c r="O738" s="120">
        <v>9145</v>
      </c>
      <c r="P738" s="120" t="s">
        <v>207</v>
      </c>
      <c r="Q738" s="120">
        <v>5927</v>
      </c>
      <c r="R738" s="120" t="s">
        <v>207</v>
      </c>
      <c r="S738" s="120">
        <v>7430</v>
      </c>
      <c r="T738" s="120" t="s">
        <v>207</v>
      </c>
      <c r="U738" s="120">
        <v>4589</v>
      </c>
      <c r="V738" s="120" t="s">
        <v>207</v>
      </c>
      <c r="W738" s="120">
        <v>3064</v>
      </c>
      <c r="X738" s="120" t="s">
        <v>207</v>
      </c>
      <c r="Y738" s="120">
        <v>3864</v>
      </c>
      <c r="Z738" s="120" t="s">
        <v>207</v>
      </c>
      <c r="AA738" s="120">
        <v>3770</v>
      </c>
      <c r="AB738" s="120" t="s">
        <v>207</v>
      </c>
      <c r="AC738" s="120">
        <v>3683</v>
      </c>
      <c r="AD738" s="120" t="s">
        <v>207</v>
      </c>
      <c r="AE738" s="120">
        <v>5489</v>
      </c>
      <c r="AF738" s="120" t="s">
        <v>207</v>
      </c>
      <c r="AG738" s="120">
        <v>4532</v>
      </c>
      <c r="AH738" s="120" t="s">
        <v>207</v>
      </c>
      <c r="AI738" s="120">
        <v>3777</v>
      </c>
      <c r="AJ738" s="120" t="s">
        <v>207</v>
      </c>
      <c r="AK738" s="120">
        <v>4037</v>
      </c>
      <c r="AL738" s="120" t="s">
        <v>207</v>
      </c>
      <c r="AM738" s="117">
        <f t="shared" si="19"/>
        <v>59307</v>
      </c>
    </row>
    <row r="739" spans="1:39" s="90" customFormat="1" ht="18" customHeight="1" x14ac:dyDescent="0.3">
      <c r="A739" s="114">
        <v>454</v>
      </c>
      <c r="B739" s="11" t="s">
        <v>1146</v>
      </c>
      <c r="C739" s="88" t="s">
        <v>268</v>
      </c>
      <c r="D739" s="88" t="s">
        <v>958</v>
      </c>
      <c r="E739" s="31" t="s">
        <v>48</v>
      </c>
      <c r="F739" s="85" t="s">
        <v>49</v>
      </c>
      <c r="G739" s="375"/>
      <c r="H739" s="365">
        <v>156</v>
      </c>
      <c r="I739" s="379"/>
      <c r="J739" s="365">
        <v>10</v>
      </c>
      <c r="K739" s="120"/>
      <c r="L739" s="120"/>
      <c r="M739" s="120"/>
      <c r="N739" s="120">
        <v>53416</v>
      </c>
      <c r="O739" s="120"/>
      <c r="P739" s="120" t="s">
        <v>207</v>
      </c>
      <c r="Q739" s="120"/>
      <c r="R739" s="120" t="s">
        <v>207</v>
      </c>
      <c r="S739" s="120"/>
      <c r="T739" s="120" t="s">
        <v>207</v>
      </c>
      <c r="U739" s="120"/>
      <c r="V739" s="120" t="s">
        <v>207</v>
      </c>
      <c r="W739" s="120"/>
      <c r="X739" s="120" t="s">
        <v>207</v>
      </c>
      <c r="Y739" s="120"/>
      <c r="Z739" s="120" t="s">
        <v>207</v>
      </c>
      <c r="AA739" s="120"/>
      <c r="AB739" s="120" t="s">
        <v>207</v>
      </c>
      <c r="AC739" s="120"/>
      <c r="AD739" s="120" t="s">
        <v>207</v>
      </c>
      <c r="AE739" s="120"/>
      <c r="AF739" s="120" t="s">
        <v>207</v>
      </c>
      <c r="AG739" s="120"/>
      <c r="AH739" s="120" t="s">
        <v>207</v>
      </c>
      <c r="AI739" s="120"/>
      <c r="AJ739" s="120" t="s">
        <v>207</v>
      </c>
      <c r="AK739" s="120"/>
      <c r="AL739" s="120" t="s">
        <v>207</v>
      </c>
      <c r="AM739" s="117">
        <f t="shared" si="19"/>
        <v>0</v>
      </c>
    </row>
    <row r="740" spans="1:39" s="90" customFormat="1" ht="18" customHeight="1" x14ac:dyDescent="0.3">
      <c r="A740" s="297">
        <v>455</v>
      </c>
      <c r="B740" s="11" t="s">
        <v>1147</v>
      </c>
      <c r="C740" s="88" t="s">
        <v>268</v>
      </c>
      <c r="D740" s="88" t="s">
        <v>958</v>
      </c>
      <c r="E740" s="31" t="s">
        <v>48</v>
      </c>
      <c r="F740" s="85" t="s">
        <v>49</v>
      </c>
      <c r="G740" s="375"/>
      <c r="H740" s="365">
        <v>156</v>
      </c>
      <c r="I740" s="379"/>
      <c r="J740" s="365">
        <v>13</v>
      </c>
      <c r="K740" s="120"/>
      <c r="L740" s="120"/>
      <c r="M740" s="120"/>
      <c r="N740" s="120">
        <v>9264</v>
      </c>
      <c r="O740" s="120"/>
      <c r="P740" s="120" t="s">
        <v>207</v>
      </c>
      <c r="Q740" s="120"/>
      <c r="R740" s="120" t="s">
        <v>207</v>
      </c>
      <c r="S740" s="120"/>
      <c r="T740" s="120" t="s">
        <v>207</v>
      </c>
      <c r="U740" s="120"/>
      <c r="V740" s="120" t="s">
        <v>207</v>
      </c>
      <c r="W740" s="120"/>
      <c r="X740" s="120" t="s">
        <v>207</v>
      </c>
      <c r="Y740" s="120"/>
      <c r="Z740" s="120" t="s">
        <v>207</v>
      </c>
      <c r="AA740" s="120"/>
      <c r="AB740" s="120" t="s">
        <v>207</v>
      </c>
      <c r="AC740" s="120"/>
      <c r="AD740" s="120" t="s">
        <v>207</v>
      </c>
      <c r="AE740" s="120"/>
      <c r="AF740" s="120" t="s">
        <v>207</v>
      </c>
      <c r="AG740" s="120"/>
      <c r="AH740" s="120" t="s">
        <v>207</v>
      </c>
      <c r="AI740" s="120"/>
      <c r="AJ740" s="120" t="s">
        <v>207</v>
      </c>
      <c r="AK740" s="120"/>
      <c r="AL740" s="120" t="s">
        <v>207</v>
      </c>
      <c r="AM740" s="117">
        <f t="shared" si="19"/>
        <v>0</v>
      </c>
    </row>
    <row r="741" spans="1:39" s="90" customFormat="1" ht="18" customHeight="1" x14ac:dyDescent="0.3">
      <c r="A741" s="114">
        <v>456</v>
      </c>
      <c r="B741" s="11" t="s">
        <v>1148</v>
      </c>
      <c r="C741" s="88" t="s">
        <v>268</v>
      </c>
      <c r="D741" s="88" t="s">
        <v>958</v>
      </c>
      <c r="E741" s="31" t="s">
        <v>48</v>
      </c>
      <c r="F741" s="85" t="s">
        <v>49</v>
      </c>
      <c r="G741" s="375"/>
      <c r="H741" s="365">
        <v>156</v>
      </c>
      <c r="I741" s="379"/>
      <c r="J741" s="365">
        <v>10</v>
      </c>
      <c r="K741" s="120"/>
      <c r="L741" s="120"/>
      <c r="M741" s="120">
        <v>52630</v>
      </c>
      <c r="N741" s="120">
        <v>34072</v>
      </c>
      <c r="O741" s="120">
        <v>3362</v>
      </c>
      <c r="P741" s="120" t="s">
        <v>207</v>
      </c>
      <c r="Q741" s="120">
        <v>1963</v>
      </c>
      <c r="R741" s="120" t="s">
        <v>207</v>
      </c>
      <c r="S741" s="120">
        <v>3089</v>
      </c>
      <c r="T741" s="120" t="s">
        <v>207</v>
      </c>
      <c r="U741" s="120">
        <v>3059</v>
      </c>
      <c r="V741" s="120" t="s">
        <v>207</v>
      </c>
      <c r="W741" s="120">
        <v>3293</v>
      </c>
      <c r="X741" s="120" t="s">
        <v>207</v>
      </c>
      <c r="Y741" s="120">
        <v>2984</v>
      </c>
      <c r="Z741" s="120" t="s">
        <v>207</v>
      </c>
      <c r="AA741" s="120">
        <v>2777</v>
      </c>
      <c r="AB741" s="120" t="s">
        <v>207</v>
      </c>
      <c r="AC741" s="120">
        <v>2739</v>
      </c>
      <c r="AD741" s="120" t="s">
        <v>207</v>
      </c>
      <c r="AE741" s="120">
        <v>2881</v>
      </c>
      <c r="AF741" s="120" t="s">
        <v>207</v>
      </c>
      <c r="AG741" s="120">
        <v>2726</v>
      </c>
      <c r="AH741" s="120" t="s">
        <v>207</v>
      </c>
      <c r="AI741" s="120">
        <v>3079</v>
      </c>
      <c r="AJ741" s="120" t="s">
        <v>207</v>
      </c>
      <c r="AK741" s="120">
        <v>3098</v>
      </c>
      <c r="AL741" s="120" t="s">
        <v>207</v>
      </c>
      <c r="AM741" s="117">
        <f t="shared" si="19"/>
        <v>35050</v>
      </c>
    </row>
    <row r="742" spans="1:39" s="90" customFormat="1" ht="18" customHeight="1" x14ac:dyDescent="0.3">
      <c r="A742" s="114">
        <v>457</v>
      </c>
      <c r="B742" s="11" t="s">
        <v>1149</v>
      </c>
      <c r="C742" s="88" t="s">
        <v>268</v>
      </c>
      <c r="D742" s="88" t="s">
        <v>958</v>
      </c>
      <c r="E742" s="31" t="s">
        <v>48</v>
      </c>
      <c r="F742" s="85" t="s">
        <v>49</v>
      </c>
      <c r="G742" s="375"/>
      <c r="H742" s="365">
        <v>148</v>
      </c>
      <c r="I742" s="379"/>
      <c r="J742" s="365">
        <v>10</v>
      </c>
      <c r="K742" s="120"/>
      <c r="L742" s="120"/>
      <c r="M742" s="120"/>
      <c r="N742" s="120">
        <v>5038</v>
      </c>
      <c r="O742" s="120"/>
      <c r="P742" s="120" t="s">
        <v>207</v>
      </c>
      <c r="Q742" s="120"/>
      <c r="R742" s="120" t="s">
        <v>207</v>
      </c>
      <c r="S742" s="120"/>
      <c r="T742" s="120" t="s">
        <v>207</v>
      </c>
      <c r="U742" s="120"/>
      <c r="V742" s="120" t="s">
        <v>207</v>
      </c>
      <c r="W742" s="120"/>
      <c r="X742" s="120" t="s">
        <v>207</v>
      </c>
      <c r="Y742" s="120"/>
      <c r="Z742" s="120" t="s">
        <v>207</v>
      </c>
      <c r="AA742" s="120"/>
      <c r="AB742" s="120" t="s">
        <v>207</v>
      </c>
      <c r="AC742" s="120"/>
      <c r="AD742" s="120" t="s">
        <v>207</v>
      </c>
      <c r="AE742" s="120"/>
      <c r="AF742" s="120" t="s">
        <v>207</v>
      </c>
      <c r="AG742" s="120"/>
      <c r="AH742" s="120" t="s">
        <v>207</v>
      </c>
      <c r="AI742" s="120"/>
      <c r="AJ742" s="120" t="s">
        <v>207</v>
      </c>
      <c r="AK742" s="120"/>
      <c r="AL742" s="120" t="s">
        <v>207</v>
      </c>
      <c r="AM742" s="117">
        <f t="shared" si="19"/>
        <v>0</v>
      </c>
    </row>
    <row r="743" spans="1:39" s="90" customFormat="1" ht="18" customHeight="1" x14ac:dyDescent="0.3">
      <c r="A743" s="297">
        <v>458</v>
      </c>
      <c r="B743" s="11" t="s">
        <v>1150</v>
      </c>
      <c r="C743" s="88" t="s">
        <v>268</v>
      </c>
      <c r="D743" s="88" t="s">
        <v>958</v>
      </c>
      <c r="E743" s="31" t="s">
        <v>48</v>
      </c>
      <c r="F743" s="85" t="s">
        <v>49</v>
      </c>
      <c r="G743" s="375"/>
      <c r="H743" s="365">
        <v>162</v>
      </c>
      <c r="I743" s="379"/>
      <c r="J743" s="365">
        <v>13</v>
      </c>
      <c r="K743" s="120"/>
      <c r="L743" s="120"/>
      <c r="M743" s="120">
        <v>61505</v>
      </c>
      <c r="N743" s="120">
        <v>49562</v>
      </c>
      <c r="O743" s="120">
        <v>5104</v>
      </c>
      <c r="P743" s="120" t="s">
        <v>207</v>
      </c>
      <c r="Q743" s="120">
        <v>4171</v>
      </c>
      <c r="R743" s="120" t="s">
        <v>207</v>
      </c>
      <c r="S743" s="120">
        <v>4208</v>
      </c>
      <c r="T743" s="120" t="s">
        <v>207</v>
      </c>
      <c r="U743" s="120">
        <v>6232</v>
      </c>
      <c r="V743" s="120" t="s">
        <v>207</v>
      </c>
      <c r="W743" s="120">
        <v>2814</v>
      </c>
      <c r="X743" s="120" t="s">
        <v>207</v>
      </c>
      <c r="Y743" s="120">
        <v>3985</v>
      </c>
      <c r="Z743" s="120" t="s">
        <v>207</v>
      </c>
      <c r="AA743" s="120">
        <v>4691</v>
      </c>
      <c r="AB743" s="120" t="s">
        <v>207</v>
      </c>
      <c r="AC743" s="120">
        <v>4000</v>
      </c>
      <c r="AD743" s="120" t="s">
        <v>207</v>
      </c>
      <c r="AE743" s="120">
        <v>4681</v>
      </c>
      <c r="AF743" s="120" t="s">
        <v>207</v>
      </c>
      <c r="AG743" s="120">
        <v>4010</v>
      </c>
      <c r="AH743" s="120" t="s">
        <v>207</v>
      </c>
      <c r="AI743" s="120">
        <v>4931</v>
      </c>
      <c r="AJ743" s="120" t="s">
        <v>207</v>
      </c>
      <c r="AK743" s="120">
        <v>5319</v>
      </c>
      <c r="AL743" s="120" t="s">
        <v>207</v>
      </c>
      <c r="AM743" s="117">
        <f t="shared" si="19"/>
        <v>54146</v>
      </c>
    </row>
    <row r="744" spans="1:39" s="90" customFormat="1" ht="18" customHeight="1" x14ac:dyDescent="0.3">
      <c r="A744" s="114">
        <v>459</v>
      </c>
      <c r="B744" s="11" t="s">
        <v>1151</v>
      </c>
      <c r="C744" s="88" t="s">
        <v>268</v>
      </c>
      <c r="D744" s="88" t="s">
        <v>958</v>
      </c>
      <c r="E744" s="31" t="s">
        <v>48</v>
      </c>
      <c r="F744" s="85" t="s">
        <v>49</v>
      </c>
      <c r="G744" s="375"/>
      <c r="H744" s="365">
        <v>9</v>
      </c>
      <c r="I744" s="379"/>
      <c r="J744" s="365">
        <v>3</v>
      </c>
      <c r="K744" s="120"/>
      <c r="L744" s="120"/>
      <c r="M744" s="120">
        <v>4321</v>
      </c>
      <c r="N744" s="120">
        <v>4321</v>
      </c>
      <c r="O744" s="120">
        <v>672</v>
      </c>
      <c r="P744" s="120" t="s">
        <v>207</v>
      </c>
      <c r="Q744" s="120">
        <v>429</v>
      </c>
      <c r="R744" s="120" t="s">
        <v>207</v>
      </c>
      <c r="S744" s="120">
        <v>338</v>
      </c>
      <c r="T744" s="120" t="s">
        <v>207</v>
      </c>
      <c r="U744" s="120">
        <v>237</v>
      </c>
      <c r="V744" s="120" t="s">
        <v>207</v>
      </c>
      <c r="W744" s="120">
        <v>377</v>
      </c>
      <c r="X744" s="120" t="s">
        <v>207</v>
      </c>
      <c r="Y744" s="120">
        <v>254</v>
      </c>
      <c r="Z744" s="120" t="s">
        <v>207</v>
      </c>
      <c r="AA744" s="120">
        <v>367</v>
      </c>
      <c r="AB744" s="120" t="s">
        <v>207</v>
      </c>
      <c r="AC744" s="120">
        <v>367</v>
      </c>
      <c r="AD744" s="120" t="s">
        <v>207</v>
      </c>
      <c r="AE744" s="120">
        <v>355</v>
      </c>
      <c r="AF744" s="120" t="s">
        <v>207</v>
      </c>
      <c r="AG744" s="120">
        <v>367</v>
      </c>
      <c r="AH744" s="120" t="s">
        <v>207</v>
      </c>
      <c r="AI744" s="120">
        <v>355</v>
      </c>
      <c r="AJ744" s="120" t="s">
        <v>207</v>
      </c>
      <c r="AK744" s="120">
        <v>367</v>
      </c>
      <c r="AL744" s="120" t="s">
        <v>207</v>
      </c>
      <c r="AM744" s="117">
        <f t="shared" si="19"/>
        <v>4485</v>
      </c>
    </row>
    <row r="745" spans="1:39" s="90" customFormat="1" ht="18" customHeight="1" x14ac:dyDescent="0.3">
      <c r="A745" s="114">
        <v>460</v>
      </c>
      <c r="B745" s="11" t="s">
        <v>1152</v>
      </c>
      <c r="C745" s="88" t="s">
        <v>268</v>
      </c>
      <c r="D745" s="88" t="s">
        <v>958</v>
      </c>
      <c r="E745" s="31" t="s">
        <v>48</v>
      </c>
      <c r="F745" s="85" t="s">
        <v>49</v>
      </c>
      <c r="G745" s="375"/>
      <c r="H745" s="365">
        <v>9</v>
      </c>
      <c r="I745" s="379"/>
      <c r="J745" s="365">
        <v>3</v>
      </c>
      <c r="K745" s="120"/>
      <c r="L745" s="120"/>
      <c r="M745" s="120"/>
      <c r="N745" s="120"/>
      <c r="O745" s="120"/>
      <c r="P745" s="120" t="s">
        <v>207</v>
      </c>
      <c r="Q745" s="120"/>
      <c r="R745" s="120" t="s">
        <v>207</v>
      </c>
      <c r="S745" s="120"/>
      <c r="T745" s="120" t="s">
        <v>207</v>
      </c>
      <c r="U745" s="120"/>
      <c r="V745" s="120" t="s">
        <v>207</v>
      </c>
      <c r="W745" s="120"/>
      <c r="X745" s="120" t="s">
        <v>207</v>
      </c>
      <c r="Y745" s="120"/>
      <c r="Z745" s="120" t="s">
        <v>207</v>
      </c>
      <c r="AA745" s="120"/>
      <c r="AB745" s="120" t="s">
        <v>207</v>
      </c>
      <c r="AC745" s="120"/>
      <c r="AD745" s="120" t="s">
        <v>207</v>
      </c>
      <c r="AE745" s="120"/>
      <c r="AF745" s="120" t="s">
        <v>207</v>
      </c>
      <c r="AG745" s="120"/>
      <c r="AH745" s="120" t="s">
        <v>207</v>
      </c>
      <c r="AI745" s="120"/>
      <c r="AJ745" s="120" t="s">
        <v>207</v>
      </c>
      <c r="AK745" s="120"/>
      <c r="AL745" s="120" t="s">
        <v>207</v>
      </c>
      <c r="AM745" s="117">
        <f t="shared" si="19"/>
        <v>0</v>
      </c>
    </row>
    <row r="746" spans="1:39" s="90" customFormat="1" ht="18" customHeight="1" x14ac:dyDescent="0.3">
      <c r="A746" s="297">
        <v>461</v>
      </c>
      <c r="B746" s="11" t="s">
        <v>1153</v>
      </c>
      <c r="C746" s="88" t="s">
        <v>268</v>
      </c>
      <c r="D746" s="88" t="s">
        <v>958</v>
      </c>
      <c r="E746" s="31" t="s">
        <v>48</v>
      </c>
      <c r="F746" s="85" t="s">
        <v>49</v>
      </c>
      <c r="G746" s="375"/>
      <c r="H746" s="365">
        <v>10</v>
      </c>
      <c r="I746" s="379"/>
      <c r="J746" s="365">
        <v>3</v>
      </c>
      <c r="K746" s="120"/>
      <c r="L746" s="120"/>
      <c r="M746" s="120"/>
      <c r="N746" s="120"/>
      <c r="O746" s="120"/>
      <c r="P746" s="120" t="s">
        <v>207</v>
      </c>
      <c r="Q746" s="120"/>
      <c r="R746" s="120" t="s">
        <v>207</v>
      </c>
      <c r="S746" s="120"/>
      <c r="T746" s="120" t="s">
        <v>207</v>
      </c>
      <c r="U746" s="120"/>
      <c r="V746" s="120" t="s">
        <v>207</v>
      </c>
      <c r="W746" s="120"/>
      <c r="X746" s="120" t="s">
        <v>207</v>
      </c>
      <c r="Y746" s="120"/>
      <c r="Z746" s="120" t="s">
        <v>207</v>
      </c>
      <c r="AA746" s="120"/>
      <c r="AB746" s="120" t="s">
        <v>207</v>
      </c>
      <c r="AC746" s="120"/>
      <c r="AD746" s="120" t="s">
        <v>207</v>
      </c>
      <c r="AE746" s="120"/>
      <c r="AF746" s="120" t="s">
        <v>207</v>
      </c>
      <c r="AG746" s="120"/>
      <c r="AH746" s="120" t="s">
        <v>207</v>
      </c>
      <c r="AI746" s="120"/>
      <c r="AJ746" s="120" t="s">
        <v>207</v>
      </c>
      <c r="AK746" s="120"/>
      <c r="AL746" s="120" t="s">
        <v>207</v>
      </c>
      <c r="AM746" s="117">
        <f t="shared" si="19"/>
        <v>0</v>
      </c>
    </row>
    <row r="747" spans="1:39" s="90" customFormat="1" ht="18" customHeight="1" x14ac:dyDescent="0.3">
      <c r="A747" s="114">
        <v>462</v>
      </c>
      <c r="B747" s="11" t="s">
        <v>1154</v>
      </c>
      <c r="C747" s="88" t="s">
        <v>268</v>
      </c>
      <c r="D747" s="88" t="s">
        <v>958</v>
      </c>
      <c r="E747" s="31" t="s">
        <v>48</v>
      </c>
      <c r="F747" s="85" t="s">
        <v>49</v>
      </c>
      <c r="G747" s="375"/>
      <c r="H747" s="365">
        <v>5</v>
      </c>
      <c r="I747" s="379"/>
      <c r="J747" s="365">
        <v>1</v>
      </c>
      <c r="K747" s="120"/>
      <c r="L747" s="120"/>
      <c r="M747" s="120">
        <v>3048</v>
      </c>
      <c r="N747" s="120">
        <v>2461</v>
      </c>
      <c r="O747" s="120">
        <v>251</v>
      </c>
      <c r="P747" s="120" t="s">
        <v>207</v>
      </c>
      <c r="Q747" s="120">
        <v>187</v>
      </c>
      <c r="R747" s="120" t="s">
        <v>207</v>
      </c>
      <c r="S747" s="120">
        <v>180</v>
      </c>
      <c r="T747" s="120" t="s">
        <v>207</v>
      </c>
      <c r="U747" s="120">
        <v>173</v>
      </c>
      <c r="V747" s="120" t="s">
        <v>207</v>
      </c>
      <c r="W747" s="120">
        <v>313</v>
      </c>
      <c r="X747" s="120" t="s">
        <v>207</v>
      </c>
      <c r="Y747" s="120">
        <v>183</v>
      </c>
      <c r="Z747" s="120" t="s">
        <v>207</v>
      </c>
      <c r="AA747" s="120">
        <v>220</v>
      </c>
      <c r="AB747" s="120" t="s">
        <v>207</v>
      </c>
      <c r="AC747" s="120">
        <v>94</v>
      </c>
      <c r="AD747" s="120" t="s">
        <v>207</v>
      </c>
      <c r="AE747" s="120">
        <v>351</v>
      </c>
      <c r="AF747" s="120" t="s">
        <v>207</v>
      </c>
      <c r="AG747" s="120">
        <v>212</v>
      </c>
      <c r="AH747" s="120" t="s">
        <v>207</v>
      </c>
      <c r="AI747" s="120">
        <v>194</v>
      </c>
      <c r="AJ747" s="120" t="s">
        <v>207</v>
      </c>
      <c r="AK747" s="120">
        <v>231</v>
      </c>
      <c r="AL747" s="120" t="s">
        <v>207</v>
      </c>
      <c r="AM747" s="117">
        <f t="shared" si="19"/>
        <v>2589</v>
      </c>
    </row>
    <row r="748" spans="1:39" s="90" customFormat="1" ht="18" customHeight="1" x14ac:dyDescent="0.3">
      <c r="A748" s="114">
        <v>463</v>
      </c>
      <c r="B748" s="11" t="s">
        <v>1155</v>
      </c>
      <c r="C748" s="88" t="s">
        <v>268</v>
      </c>
      <c r="D748" s="88" t="s">
        <v>958</v>
      </c>
      <c r="E748" s="31" t="s">
        <v>48</v>
      </c>
      <c r="F748" s="85" t="s">
        <v>49</v>
      </c>
      <c r="G748" s="375"/>
      <c r="H748" s="365">
        <v>6</v>
      </c>
      <c r="I748" s="379"/>
      <c r="J748" s="365">
        <v>1</v>
      </c>
      <c r="K748" s="120"/>
      <c r="L748" s="120"/>
      <c r="M748" s="120">
        <v>1081</v>
      </c>
      <c r="N748" s="120">
        <v>1389</v>
      </c>
      <c r="O748" s="120">
        <v>56</v>
      </c>
      <c r="P748" s="120" t="s">
        <v>207</v>
      </c>
      <c r="Q748" s="120">
        <v>38</v>
      </c>
      <c r="R748" s="120" t="s">
        <v>207</v>
      </c>
      <c r="S748" s="120">
        <v>33</v>
      </c>
      <c r="T748" s="120" t="s">
        <v>207</v>
      </c>
      <c r="U748" s="120">
        <v>33</v>
      </c>
      <c r="V748" s="120" t="s">
        <v>207</v>
      </c>
      <c r="W748" s="120">
        <v>63</v>
      </c>
      <c r="X748" s="120" t="s">
        <v>207</v>
      </c>
      <c r="Y748" s="120">
        <v>66</v>
      </c>
      <c r="Z748" s="120" t="s">
        <v>207</v>
      </c>
      <c r="AA748" s="120">
        <v>94</v>
      </c>
      <c r="AB748" s="120" t="s">
        <v>207</v>
      </c>
      <c r="AC748" s="120">
        <v>50</v>
      </c>
      <c r="AD748" s="120" t="s">
        <v>207</v>
      </c>
      <c r="AE748" s="120">
        <v>82</v>
      </c>
      <c r="AF748" s="120" t="s">
        <v>207</v>
      </c>
      <c r="AG748" s="120">
        <v>90</v>
      </c>
      <c r="AH748" s="120" t="s">
        <v>207</v>
      </c>
      <c r="AI748" s="120">
        <v>78</v>
      </c>
      <c r="AJ748" s="120" t="s">
        <v>207</v>
      </c>
      <c r="AK748" s="120">
        <v>150</v>
      </c>
      <c r="AL748" s="120" t="s">
        <v>207</v>
      </c>
      <c r="AM748" s="117">
        <f t="shared" si="19"/>
        <v>833</v>
      </c>
    </row>
    <row r="749" spans="1:39" s="90" customFormat="1" ht="18" customHeight="1" x14ac:dyDescent="0.3">
      <c r="A749" s="297">
        <v>464</v>
      </c>
      <c r="B749" s="11" t="s">
        <v>1156</v>
      </c>
      <c r="C749" s="88" t="s">
        <v>268</v>
      </c>
      <c r="D749" s="88" t="s">
        <v>958</v>
      </c>
      <c r="E749" s="31" t="s">
        <v>48</v>
      </c>
      <c r="F749" s="85" t="s">
        <v>49</v>
      </c>
      <c r="G749" s="375"/>
      <c r="H749" s="365">
        <v>6</v>
      </c>
      <c r="I749" s="379"/>
      <c r="J749" s="365">
        <v>1</v>
      </c>
      <c r="K749" s="120"/>
      <c r="L749" s="120"/>
      <c r="M749" s="120">
        <v>1156</v>
      </c>
      <c r="N749" s="120">
        <v>1499</v>
      </c>
      <c r="O749" s="120">
        <v>100</v>
      </c>
      <c r="P749" s="120" t="s">
        <v>207</v>
      </c>
      <c r="Q749" s="120">
        <v>93</v>
      </c>
      <c r="R749" s="120" t="s">
        <v>207</v>
      </c>
      <c r="S749" s="120">
        <v>101</v>
      </c>
      <c r="T749" s="120" t="s">
        <v>207</v>
      </c>
      <c r="U749" s="120">
        <v>51</v>
      </c>
      <c r="V749" s="120" t="s">
        <v>207</v>
      </c>
      <c r="W749" s="120">
        <v>71</v>
      </c>
      <c r="X749" s="120" t="s">
        <v>207</v>
      </c>
      <c r="Y749" s="120">
        <v>67</v>
      </c>
      <c r="Z749" s="120" t="s">
        <v>207</v>
      </c>
      <c r="AA749" s="120">
        <v>67</v>
      </c>
      <c r="AB749" s="120" t="s">
        <v>207</v>
      </c>
      <c r="AC749" s="120">
        <v>61</v>
      </c>
      <c r="AD749" s="120" t="s">
        <v>207</v>
      </c>
      <c r="AE749" s="120">
        <v>163</v>
      </c>
      <c r="AF749" s="120" t="s">
        <v>207</v>
      </c>
      <c r="AG749" s="120">
        <v>119</v>
      </c>
      <c r="AH749" s="120" t="s">
        <v>207</v>
      </c>
      <c r="AI749" s="120">
        <v>119</v>
      </c>
      <c r="AJ749" s="120" t="s">
        <v>207</v>
      </c>
      <c r="AK749" s="120">
        <v>186</v>
      </c>
      <c r="AL749" s="120" t="s">
        <v>207</v>
      </c>
      <c r="AM749" s="117">
        <f t="shared" si="19"/>
        <v>1198</v>
      </c>
    </row>
    <row r="750" spans="1:39" s="90" customFormat="1" ht="18" customHeight="1" x14ac:dyDescent="0.3">
      <c r="A750" s="114">
        <v>465</v>
      </c>
      <c r="B750" s="11" t="s">
        <v>1157</v>
      </c>
      <c r="C750" s="88" t="s">
        <v>268</v>
      </c>
      <c r="D750" s="88" t="s">
        <v>958</v>
      </c>
      <c r="E750" s="31" t="s">
        <v>48</v>
      </c>
      <c r="F750" s="85" t="s">
        <v>49</v>
      </c>
      <c r="G750" s="375"/>
      <c r="H750" s="365">
        <v>7</v>
      </c>
      <c r="I750" s="379"/>
      <c r="J750" s="365">
        <v>1</v>
      </c>
      <c r="K750" s="120"/>
      <c r="L750" s="120"/>
      <c r="M750" s="120">
        <v>1171</v>
      </c>
      <c r="N750" s="120">
        <v>1425</v>
      </c>
      <c r="O750" s="120">
        <v>50</v>
      </c>
      <c r="P750" s="120" t="s">
        <v>207</v>
      </c>
      <c r="Q750" s="120">
        <v>52</v>
      </c>
      <c r="R750" s="120" t="s">
        <v>207</v>
      </c>
      <c r="S750" s="120">
        <v>34</v>
      </c>
      <c r="T750" s="120" t="s">
        <v>207</v>
      </c>
      <c r="U750" s="120">
        <v>49</v>
      </c>
      <c r="V750" s="120" t="s">
        <v>207</v>
      </c>
      <c r="W750" s="120">
        <v>53</v>
      </c>
      <c r="X750" s="120" t="s">
        <v>207</v>
      </c>
      <c r="Y750" s="120">
        <v>58</v>
      </c>
      <c r="Z750" s="120" t="s">
        <v>207</v>
      </c>
      <c r="AA750" s="120">
        <v>23</v>
      </c>
      <c r="AB750" s="120" t="s">
        <v>207</v>
      </c>
      <c r="AC750" s="120">
        <v>28</v>
      </c>
      <c r="AD750" s="120" t="s">
        <v>207</v>
      </c>
      <c r="AE750" s="120">
        <v>172</v>
      </c>
      <c r="AF750" s="120" t="s">
        <v>207</v>
      </c>
      <c r="AG750" s="120">
        <v>123</v>
      </c>
      <c r="AH750" s="120" t="s">
        <v>207</v>
      </c>
      <c r="AI750" s="120">
        <v>178</v>
      </c>
      <c r="AJ750" s="120" t="s">
        <v>207</v>
      </c>
      <c r="AK750" s="120">
        <v>237</v>
      </c>
      <c r="AL750" s="120" t="s">
        <v>207</v>
      </c>
      <c r="AM750" s="117">
        <f t="shared" ref="AM750:AM813" si="20">SUM(O750,Q750,S750,U750,W750,Y750,AA750,AC750,AE750,AG750,AI750,AK750)</f>
        <v>1057</v>
      </c>
    </row>
    <row r="751" spans="1:39" s="90" customFormat="1" ht="18" customHeight="1" x14ac:dyDescent="0.3">
      <c r="A751" s="114">
        <v>466</v>
      </c>
      <c r="B751" s="11" t="s">
        <v>1158</v>
      </c>
      <c r="C751" s="88" t="s">
        <v>268</v>
      </c>
      <c r="D751" s="88" t="s">
        <v>958</v>
      </c>
      <c r="E751" s="31" t="s">
        <v>48</v>
      </c>
      <c r="F751" s="85" t="s">
        <v>49</v>
      </c>
      <c r="G751" s="375"/>
      <c r="H751" s="365">
        <v>8</v>
      </c>
      <c r="I751" s="379"/>
      <c r="J751" s="365">
        <v>1</v>
      </c>
      <c r="K751" s="120"/>
      <c r="L751" s="120"/>
      <c r="M751" s="120">
        <v>21673</v>
      </c>
      <c r="N751" s="120">
        <v>21908</v>
      </c>
      <c r="O751" s="120">
        <v>2332</v>
      </c>
      <c r="P751" s="120" t="s">
        <v>207</v>
      </c>
      <c r="Q751" s="120">
        <v>2324</v>
      </c>
      <c r="R751" s="120" t="s">
        <v>207</v>
      </c>
      <c r="S751" s="120">
        <v>1997</v>
      </c>
      <c r="T751" s="120" t="s">
        <v>207</v>
      </c>
      <c r="U751" s="120">
        <v>1824</v>
      </c>
      <c r="V751" s="120" t="s">
        <v>207</v>
      </c>
      <c r="W751" s="120">
        <v>1779</v>
      </c>
      <c r="X751" s="120" t="s">
        <v>207</v>
      </c>
      <c r="Y751" s="120">
        <v>2428</v>
      </c>
      <c r="Z751" s="120" t="s">
        <v>207</v>
      </c>
      <c r="AA751" s="120">
        <v>1916</v>
      </c>
      <c r="AB751" s="120" t="s">
        <v>207</v>
      </c>
      <c r="AC751" s="120">
        <v>1057</v>
      </c>
      <c r="AD751" s="120" t="s">
        <v>207</v>
      </c>
      <c r="AE751" s="120">
        <v>2501</v>
      </c>
      <c r="AF751" s="120" t="s">
        <v>207</v>
      </c>
      <c r="AG751" s="120">
        <v>2165</v>
      </c>
      <c r="AH751" s="120" t="s">
        <v>207</v>
      </c>
      <c r="AI751" s="120">
        <v>1719</v>
      </c>
      <c r="AJ751" s="120" t="s">
        <v>207</v>
      </c>
      <c r="AK751" s="120">
        <v>2434</v>
      </c>
      <c r="AL751" s="120" t="s">
        <v>207</v>
      </c>
      <c r="AM751" s="117">
        <f t="shared" si="20"/>
        <v>24476</v>
      </c>
    </row>
    <row r="752" spans="1:39" s="90" customFormat="1" ht="18" customHeight="1" x14ac:dyDescent="0.3">
      <c r="A752" s="297">
        <v>467</v>
      </c>
      <c r="B752" s="11" t="s">
        <v>1159</v>
      </c>
      <c r="C752" s="88" t="s">
        <v>268</v>
      </c>
      <c r="D752" s="88" t="s">
        <v>958</v>
      </c>
      <c r="E752" s="31" t="s">
        <v>48</v>
      </c>
      <c r="F752" s="85" t="s">
        <v>49</v>
      </c>
      <c r="G752" s="375"/>
      <c r="H752" s="365">
        <v>10</v>
      </c>
      <c r="I752" s="379"/>
      <c r="J752" s="365">
        <v>1</v>
      </c>
      <c r="K752" s="120"/>
      <c r="L752" s="120"/>
      <c r="M752" s="120">
        <v>1286</v>
      </c>
      <c r="N752" s="120">
        <v>1644</v>
      </c>
      <c r="O752" s="120">
        <v>80</v>
      </c>
      <c r="P752" s="120" t="s">
        <v>207</v>
      </c>
      <c r="Q752" s="120">
        <v>45</v>
      </c>
      <c r="R752" s="120" t="s">
        <v>207</v>
      </c>
      <c r="S752" s="120">
        <v>61</v>
      </c>
      <c r="T752" s="120" t="s">
        <v>207</v>
      </c>
      <c r="U752" s="120">
        <v>51</v>
      </c>
      <c r="V752" s="120" t="s">
        <v>207</v>
      </c>
      <c r="W752" s="120">
        <v>63</v>
      </c>
      <c r="X752" s="120" t="s">
        <v>207</v>
      </c>
      <c r="Y752" s="120">
        <v>25</v>
      </c>
      <c r="Z752" s="120" t="s">
        <v>207</v>
      </c>
      <c r="AA752" s="120">
        <v>47</v>
      </c>
      <c r="AB752" s="120" t="s">
        <v>207</v>
      </c>
      <c r="AC752" s="120">
        <v>43</v>
      </c>
      <c r="AD752" s="120" t="s">
        <v>207</v>
      </c>
      <c r="AE752" s="120">
        <v>105</v>
      </c>
      <c r="AF752" s="120" t="s">
        <v>207</v>
      </c>
      <c r="AG752" s="120">
        <v>157</v>
      </c>
      <c r="AH752" s="120" t="s">
        <v>207</v>
      </c>
      <c r="AI752" s="120">
        <v>184</v>
      </c>
      <c r="AJ752" s="120" t="s">
        <v>207</v>
      </c>
      <c r="AK752" s="120">
        <v>190</v>
      </c>
      <c r="AL752" s="120" t="s">
        <v>207</v>
      </c>
      <c r="AM752" s="117">
        <f t="shared" si="20"/>
        <v>1051</v>
      </c>
    </row>
    <row r="753" spans="1:39" s="90" customFormat="1" ht="18" customHeight="1" x14ac:dyDescent="0.3">
      <c r="A753" s="114">
        <v>468</v>
      </c>
      <c r="B753" s="11" t="s">
        <v>1160</v>
      </c>
      <c r="C753" s="88" t="s">
        <v>268</v>
      </c>
      <c r="D753" s="88" t="s">
        <v>958</v>
      </c>
      <c r="E753" s="31" t="s">
        <v>48</v>
      </c>
      <c r="F753" s="85" t="s">
        <v>49</v>
      </c>
      <c r="G753" s="375"/>
      <c r="H753" s="365">
        <v>11</v>
      </c>
      <c r="I753" s="379"/>
      <c r="J753" s="365">
        <v>1</v>
      </c>
      <c r="K753" s="120"/>
      <c r="L753" s="120"/>
      <c r="M753" s="120">
        <v>38331</v>
      </c>
      <c r="N753" s="120">
        <v>48022</v>
      </c>
      <c r="O753" s="120">
        <v>3433</v>
      </c>
      <c r="P753" s="120" t="s">
        <v>207</v>
      </c>
      <c r="Q753" s="120">
        <v>3929</v>
      </c>
      <c r="R753" s="120" t="s">
        <v>207</v>
      </c>
      <c r="S753" s="120">
        <v>2787</v>
      </c>
      <c r="T753" s="120" t="s">
        <v>207</v>
      </c>
      <c r="U753" s="120">
        <v>2367</v>
      </c>
      <c r="V753" s="120" t="s">
        <v>207</v>
      </c>
      <c r="W753" s="120">
        <v>1972</v>
      </c>
      <c r="X753" s="120" t="s">
        <v>207</v>
      </c>
      <c r="Y753" s="120">
        <v>1793</v>
      </c>
      <c r="Z753" s="120" t="s">
        <v>207</v>
      </c>
      <c r="AA753" s="120">
        <v>1968</v>
      </c>
      <c r="AB753" s="120" t="s">
        <v>207</v>
      </c>
      <c r="AC753" s="120">
        <v>1780</v>
      </c>
      <c r="AD753" s="120" t="s">
        <v>207</v>
      </c>
      <c r="AE753" s="120">
        <v>1876</v>
      </c>
      <c r="AF753" s="120" t="s">
        <v>207</v>
      </c>
      <c r="AG753" s="120">
        <v>2086</v>
      </c>
      <c r="AH753" s="120" t="s">
        <v>207</v>
      </c>
      <c r="AI753" s="120">
        <v>2206</v>
      </c>
      <c r="AJ753" s="120" t="s">
        <v>207</v>
      </c>
      <c r="AK753" s="120">
        <v>2056</v>
      </c>
      <c r="AL753" s="120" t="s">
        <v>207</v>
      </c>
      <c r="AM753" s="117">
        <f t="shared" si="20"/>
        <v>28253</v>
      </c>
    </row>
    <row r="754" spans="1:39" s="90" customFormat="1" ht="18" customHeight="1" x14ac:dyDescent="0.3">
      <c r="A754" s="114">
        <v>469</v>
      </c>
      <c r="B754" s="11" t="s">
        <v>1161</v>
      </c>
      <c r="C754" s="88" t="s">
        <v>268</v>
      </c>
      <c r="D754" s="88" t="s">
        <v>958</v>
      </c>
      <c r="E754" s="31" t="s">
        <v>48</v>
      </c>
      <c r="F754" s="85" t="s">
        <v>49</v>
      </c>
      <c r="G754" s="375"/>
      <c r="H754" s="365">
        <v>5</v>
      </c>
      <c r="I754" s="379"/>
      <c r="J754" s="365">
        <v>1</v>
      </c>
      <c r="K754" s="120"/>
      <c r="L754" s="120"/>
      <c r="M754" s="120">
        <v>1664</v>
      </c>
      <c r="N754" s="120">
        <v>888</v>
      </c>
      <c r="O754" s="120">
        <v>744</v>
      </c>
      <c r="P754" s="120" t="s">
        <v>207</v>
      </c>
      <c r="Q754" s="120">
        <v>672</v>
      </c>
      <c r="R754" s="120" t="s">
        <v>207</v>
      </c>
      <c r="S754" s="120">
        <v>40</v>
      </c>
      <c r="T754" s="120" t="s">
        <v>207</v>
      </c>
      <c r="U754" s="120">
        <v>30</v>
      </c>
      <c r="V754" s="120" t="s">
        <v>207</v>
      </c>
      <c r="W754" s="120">
        <v>26</v>
      </c>
      <c r="X754" s="120" t="s">
        <v>207</v>
      </c>
      <c r="Y754" s="120">
        <v>28</v>
      </c>
      <c r="Z754" s="120" t="s">
        <v>207</v>
      </c>
      <c r="AA754" s="120">
        <v>99</v>
      </c>
      <c r="AB754" s="120" t="s">
        <v>207</v>
      </c>
      <c r="AC754" s="120">
        <v>54</v>
      </c>
      <c r="AD754" s="120" t="s">
        <v>207</v>
      </c>
      <c r="AE754" s="120">
        <v>154</v>
      </c>
      <c r="AF754" s="120" t="s">
        <v>207</v>
      </c>
      <c r="AG754" s="120">
        <v>188</v>
      </c>
      <c r="AH754" s="120" t="s">
        <v>207</v>
      </c>
      <c r="AI754" s="120">
        <v>76</v>
      </c>
      <c r="AJ754" s="120" t="s">
        <v>207</v>
      </c>
      <c r="AK754" s="120">
        <v>211</v>
      </c>
      <c r="AL754" s="120" t="s">
        <v>207</v>
      </c>
      <c r="AM754" s="117">
        <f t="shared" si="20"/>
        <v>2322</v>
      </c>
    </row>
    <row r="755" spans="1:39" s="90" customFormat="1" ht="18" customHeight="1" x14ac:dyDescent="0.3">
      <c r="A755" s="297">
        <v>470</v>
      </c>
      <c r="B755" s="11" t="s">
        <v>1162</v>
      </c>
      <c r="C755" s="88" t="s">
        <v>268</v>
      </c>
      <c r="D755" s="88" t="s">
        <v>958</v>
      </c>
      <c r="E755" s="31" t="s">
        <v>48</v>
      </c>
      <c r="F755" s="85" t="s">
        <v>49</v>
      </c>
      <c r="G755" s="375"/>
      <c r="H755" s="365">
        <v>5</v>
      </c>
      <c r="I755" s="379"/>
      <c r="J755" s="365">
        <v>1</v>
      </c>
      <c r="K755" s="120"/>
      <c r="L755" s="120"/>
      <c r="M755" s="120">
        <v>2300</v>
      </c>
      <c r="N755" s="120">
        <v>1515</v>
      </c>
      <c r="O755" s="120">
        <v>744</v>
      </c>
      <c r="P755" s="120" t="s">
        <v>207</v>
      </c>
      <c r="Q755" s="120">
        <v>672</v>
      </c>
      <c r="R755" s="120" t="s">
        <v>207</v>
      </c>
      <c r="S755" s="120">
        <v>26</v>
      </c>
      <c r="T755" s="120" t="s">
        <v>207</v>
      </c>
      <c r="U755" s="120">
        <v>43</v>
      </c>
      <c r="V755" s="120" t="s">
        <v>207</v>
      </c>
      <c r="W755" s="120">
        <v>51</v>
      </c>
      <c r="X755" s="120" t="s">
        <v>207</v>
      </c>
      <c r="Y755" s="120">
        <v>112</v>
      </c>
      <c r="Z755" s="120" t="s">
        <v>207</v>
      </c>
      <c r="AA755" s="120">
        <v>125</v>
      </c>
      <c r="AB755" s="120" t="s">
        <v>207</v>
      </c>
      <c r="AC755" s="120">
        <v>83</v>
      </c>
      <c r="AD755" s="120" t="s">
        <v>207</v>
      </c>
      <c r="AE755" s="120">
        <v>92</v>
      </c>
      <c r="AF755" s="120" t="s">
        <v>207</v>
      </c>
      <c r="AG755" s="120">
        <v>103</v>
      </c>
      <c r="AH755" s="120" t="s">
        <v>207</v>
      </c>
      <c r="AI755" s="120">
        <v>70</v>
      </c>
      <c r="AJ755" s="120" t="s">
        <v>207</v>
      </c>
      <c r="AK755" s="120">
        <v>145</v>
      </c>
      <c r="AL755" s="120" t="s">
        <v>207</v>
      </c>
      <c r="AM755" s="117">
        <f t="shared" si="20"/>
        <v>2266</v>
      </c>
    </row>
    <row r="756" spans="1:39" s="90" customFormat="1" ht="18" customHeight="1" x14ac:dyDescent="0.3">
      <c r="A756" s="114">
        <v>471</v>
      </c>
      <c r="B756" s="11" t="s">
        <v>1163</v>
      </c>
      <c r="C756" s="88" t="s">
        <v>268</v>
      </c>
      <c r="D756" s="88" t="s">
        <v>958</v>
      </c>
      <c r="E756" s="31" t="s">
        <v>48</v>
      </c>
      <c r="F756" s="85" t="s">
        <v>49</v>
      </c>
      <c r="G756" s="375"/>
      <c r="H756" s="365">
        <v>6</v>
      </c>
      <c r="I756" s="379"/>
      <c r="J756" s="365">
        <v>1</v>
      </c>
      <c r="K756" s="120"/>
      <c r="L756" s="120"/>
      <c r="M756" s="120">
        <v>1303</v>
      </c>
      <c r="N756" s="120">
        <v>2883</v>
      </c>
      <c r="O756" s="120">
        <v>72</v>
      </c>
      <c r="P756" s="120" t="s">
        <v>207</v>
      </c>
      <c r="Q756" s="120">
        <v>120</v>
      </c>
      <c r="R756" s="120" t="s">
        <v>207</v>
      </c>
      <c r="S756" s="120">
        <v>116</v>
      </c>
      <c r="T756" s="120" t="s">
        <v>207</v>
      </c>
      <c r="U756" s="120">
        <v>81</v>
      </c>
      <c r="V756" s="120" t="s">
        <v>207</v>
      </c>
      <c r="W756" s="120">
        <v>91</v>
      </c>
      <c r="X756" s="120" t="s">
        <v>207</v>
      </c>
      <c r="Y756" s="120">
        <v>82</v>
      </c>
      <c r="Z756" s="120" t="s">
        <v>207</v>
      </c>
      <c r="AA756" s="120">
        <v>63</v>
      </c>
      <c r="AB756" s="120" t="s">
        <v>207</v>
      </c>
      <c r="AC756" s="120">
        <v>34</v>
      </c>
      <c r="AD756" s="120" t="s">
        <v>207</v>
      </c>
      <c r="AE756" s="120">
        <v>60</v>
      </c>
      <c r="AF756" s="120" t="s">
        <v>207</v>
      </c>
      <c r="AG756" s="120">
        <v>88</v>
      </c>
      <c r="AH756" s="120" t="s">
        <v>207</v>
      </c>
      <c r="AI756" s="120">
        <v>56</v>
      </c>
      <c r="AJ756" s="120" t="s">
        <v>207</v>
      </c>
      <c r="AK756" s="120">
        <v>166</v>
      </c>
      <c r="AL756" s="120" t="s">
        <v>207</v>
      </c>
      <c r="AM756" s="117">
        <f t="shared" si="20"/>
        <v>1029</v>
      </c>
    </row>
    <row r="757" spans="1:39" s="90" customFormat="1" ht="18" customHeight="1" x14ac:dyDescent="0.3">
      <c r="A757" s="114">
        <v>472</v>
      </c>
      <c r="B757" s="11" t="s">
        <v>1164</v>
      </c>
      <c r="C757" s="88" t="s">
        <v>268</v>
      </c>
      <c r="D757" s="88" t="s">
        <v>958</v>
      </c>
      <c r="E757" s="31" t="s">
        <v>48</v>
      </c>
      <c r="F757" s="85" t="s">
        <v>49</v>
      </c>
      <c r="G757" s="375"/>
      <c r="H757" s="365">
        <v>7</v>
      </c>
      <c r="I757" s="379"/>
      <c r="J757" s="365">
        <v>1</v>
      </c>
      <c r="K757" s="120"/>
      <c r="L757" s="120"/>
      <c r="M757" s="120">
        <v>2217</v>
      </c>
      <c r="N757" s="120">
        <v>941</v>
      </c>
      <c r="O757" s="120">
        <v>744</v>
      </c>
      <c r="P757" s="120" t="s">
        <v>207</v>
      </c>
      <c r="Q757" s="120">
        <v>672</v>
      </c>
      <c r="R757" s="120" t="s">
        <v>207</v>
      </c>
      <c r="S757" s="120">
        <v>51</v>
      </c>
      <c r="T757" s="120" t="s">
        <v>207</v>
      </c>
      <c r="U757" s="120">
        <v>56</v>
      </c>
      <c r="V757" s="120" t="s">
        <v>207</v>
      </c>
      <c r="W757" s="120">
        <v>39</v>
      </c>
      <c r="X757" s="120" t="s">
        <v>207</v>
      </c>
      <c r="Y757" s="120">
        <v>178</v>
      </c>
      <c r="Z757" s="120" t="s">
        <v>207</v>
      </c>
      <c r="AA757" s="120">
        <v>184</v>
      </c>
      <c r="AB757" s="120" t="s">
        <v>207</v>
      </c>
      <c r="AC757" s="120">
        <v>264</v>
      </c>
      <c r="AD757" s="120" t="s">
        <v>207</v>
      </c>
      <c r="AE757" s="120">
        <v>196</v>
      </c>
      <c r="AF757" s="120" t="s">
        <v>207</v>
      </c>
      <c r="AG757" s="120">
        <v>172</v>
      </c>
      <c r="AH757" s="120" t="s">
        <v>207</v>
      </c>
      <c r="AI757" s="120">
        <v>126</v>
      </c>
      <c r="AJ757" s="120" t="s">
        <v>207</v>
      </c>
      <c r="AK757" s="120">
        <v>173</v>
      </c>
      <c r="AL757" s="120" t="s">
        <v>207</v>
      </c>
      <c r="AM757" s="117">
        <f t="shared" si="20"/>
        <v>2855</v>
      </c>
    </row>
    <row r="758" spans="1:39" s="90" customFormat="1" ht="18" customHeight="1" x14ac:dyDescent="0.3">
      <c r="A758" s="297">
        <v>473</v>
      </c>
      <c r="B758" s="11" t="s">
        <v>1165</v>
      </c>
      <c r="C758" s="88" t="s">
        <v>268</v>
      </c>
      <c r="D758" s="88" t="s">
        <v>958</v>
      </c>
      <c r="E758" s="31" t="s">
        <v>48</v>
      </c>
      <c r="F758" s="85" t="s">
        <v>49</v>
      </c>
      <c r="G758" s="375"/>
      <c r="H758" s="365">
        <v>25</v>
      </c>
      <c r="I758" s="379"/>
      <c r="J758" s="365">
        <v>2</v>
      </c>
      <c r="K758" s="120"/>
      <c r="L758" s="120"/>
      <c r="M758" s="120">
        <v>4380</v>
      </c>
      <c r="N758" s="120">
        <v>4380</v>
      </c>
      <c r="O758" s="120">
        <v>372</v>
      </c>
      <c r="P758" s="120" t="s">
        <v>207</v>
      </c>
      <c r="Q758" s="120">
        <v>336</v>
      </c>
      <c r="R758" s="120" t="s">
        <v>207</v>
      </c>
      <c r="S758" s="120">
        <v>372</v>
      </c>
      <c r="T758" s="120" t="s">
        <v>207</v>
      </c>
      <c r="U758" s="120">
        <v>360</v>
      </c>
      <c r="V758" s="120" t="s">
        <v>207</v>
      </c>
      <c r="W758" s="120">
        <v>372</v>
      </c>
      <c r="X758" s="120" t="s">
        <v>207</v>
      </c>
      <c r="Y758" s="120">
        <v>360</v>
      </c>
      <c r="Z758" s="120" t="s">
        <v>207</v>
      </c>
      <c r="AA758" s="120">
        <v>372</v>
      </c>
      <c r="AB758" s="120" t="s">
        <v>207</v>
      </c>
      <c r="AC758" s="120">
        <v>372</v>
      </c>
      <c r="AD758" s="120" t="s">
        <v>207</v>
      </c>
      <c r="AE758" s="120">
        <v>360</v>
      </c>
      <c r="AF758" s="120" t="s">
        <v>207</v>
      </c>
      <c r="AG758" s="120">
        <v>372</v>
      </c>
      <c r="AH758" s="120" t="s">
        <v>207</v>
      </c>
      <c r="AI758" s="120">
        <v>360</v>
      </c>
      <c r="AJ758" s="120" t="s">
        <v>207</v>
      </c>
      <c r="AK758" s="120">
        <v>372</v>
      </c>
      <c r="AL758" s="120" t="s">
        <v>207</v>
      </c>
      <c r="AM758" s="117">
        <f t="shared" si="20"/>
        <v>4380</v>
      </c>
    </row>
    <row r="759" spans="1:39" s="90" customFormat="1" ht="18" customHeight="1" x14ac:dyDescent="0.3">
      <c r="A759" s="114">
        <v>474</v>
      </c>
      <c r="B759" s="11" t="s">
        <v>1166</v>
      </c>
      <c r="C759" s="88" t="s">
        <v>268</v>
      </c>
      <c r="D759" s="88" t="s">
        <v>958</v>
      </c>
      <c r="E759" s="31" t="s">
        <v>48</v>
      </c>
      <c r="F759" s="85" t="s">
        <v>49</v>
      </c>
      <c r="G759" s="375"/>
      <c r="H759" s="365">
        <v>32</v>
      </c>
      <c r="I759" s="379"/>
      <c r="J759" s="365">
        <v>4</v>
      </c>
      <c r="K759" s="120"/>
      <c r="L759" s="120"/>
      <c r="M759" s="120">
        <v>9037</v>
      </c>
      <c r="N759" s="120">
        <v>7312</v>
      </c>
      <c r="O759" s="120">
        <v>1305</v>
      </c>
      <c r="P759" s="120" t="s">
        <v>207</v>
      </c>
      <c r="Q759" s="120">
        <v>1118</v>
      </c>
      <c r="R759" s="120" t="s">
        <v>207</v>
      </c>
      <c r="S759" s="120">
        <v>1056</v>
      </c>
      <c r="T759" s="120" t="s">
        <v>207</v>
      </c>
      <c r="U759" s="120">
        <v>823</v>
      </c>
      <c r="V759" s="120" t="s">
        <v>207</v>
      </c>
      <c r="W759" s="120">
        <v>847</v>
      </c>
      <c r="X759" s="120" t="s">
        <v>207</v>
      </c>
      <c r="Y759" s="120">
        <v>1099</v>
      </c>
      <c r="Z759" s="120" t="s">
        <v>207</v>
      </c>
      <c r="AA759" s="120">
        <v>932</v>
      </c>
      <c r="AB759" s="120" t="s">
        <v>207</v>
      </c>
      <c r="AC759" s="120">
        <v>475</v>
      </c>
      <c r="AD759" s="120" t="s">
        <v>207</v>
      </c>
      <c r="AE759" s="120">
        <v>818</v>
      </c>
      <c r="AF759" s="120" t="s">
        <v>207</v>
      </c>
      <c r="AG759" s="120">
        <v>955</v>
      </c>
      <c r="AH759" s="120" t="s">
        <v>207</v>
      </c>
      <c r="AI759" s="120">
        <v>820</v>
      </c>
      <c r="AJ759" s="120" t="s">
        <v>207</v>
      </c>
      <c r="AK759" s="120">
        <v>919</v>
      </c>
      <c r="AL759" s="120" t="s">
        <v>207</v>
      </c>
      <c r="AM759" s="117">
        <f t="shared" si="20"/>
        <v>11167</v>
      </c>
    </row>
    <row r="760" spans="1:39" s="90" customFormat="1" ht="18" customHeight="1" x14ac:dyDescent="0.3">
      <c r="A760" s="114">
        <v>475</v>
      </c>
      <c r="B760" s="11" t="s">
        <v>1167</v>
      </c>
      <c r="C760" s="88" t="s">
        <v>268</v>
      </c>
      <c r="D760" s="88" t="s">
        <v>958</v>
      </c>
      <c r="E760" s="31" t="s">
        <v>48</v>
      </c>
      <c r="F760" s="85" t="s">
        <v>49</v>
      </c>
      <c r="G760" s="375"/>
      <c r="H760" s="365">
        <v>32</v>
      </c>
      <c r="I760" s="379"/>
      <c r="J760" s="365">
        <v>4</v>
      </c>
      <c r="K760" s="120"/>
      <c r="L760" s="120"/>
      <c r="M760" s="120">
        <v>5019</v>
      </c>
      <c r="N760" s="120">
        <v>4931</v>
      </c>
      <c r="O760" s="120">
        <v>631</v>
      </c>
      <c r="P760" s="120" t="s">
        <v>207</v>
      </c>
      <c r="Q760" s="120">
        <v>453</v>
      </c>
      <c r="R760" s="120" t="s">
        <v>207</v>
      </c>
      <c r="S760" s="120">
        <v>478</v>
      </c>
      <c r="T760" s="120" t="s">
        <v>207</v>
      </c>
      <c r="U760" s="120">
        <v>451</v>
      </c>
      <c r="V760" s="120" t="s">
        <v>207</v>
      </c>
      <c r="W760" s="120">
        <v>577</v>
      </c>
      <c r="X760" s="120" t="s">
        <v>207</v>
      </c>
      <c r="Y760" s="120">
        <v>353</v>
      </c>
      <c r="Z760" s="120" t="s">
        <v>207</v>
      </c>
      <c r="AA760" s="120">
        <v>453</v>
      </c>
      <c r="AB760" s="120" t="s">
        <v>207</v>
      </c>
      <c r="AC760" s="120">
        <v>356</v>
      </c>
      <c r="AD760" s="120" t="s">
        <v>207</v>
      </c>
      <c r="AE760" s="120">
        <v>460</v>
      </c>
      <c r="AF760" s="120" t="s">
        <v>207</v>
      </c>
      <c r="AG760" s="120">
        <v>455</v>
      </c>
      <c r="AH760" s="120" t="s">
        <v>207</v>
      </c>
      <c r="AI760" s="120">
        <v>571</v>
      </c>
      <c r="AJ760" s="120" t="s">
        <v>207</v>
      </c>
      <c r="AK760" s="120">
        <v>686</v>
      </c>
      <c r="AL760" s="120" t="s">
        <v>207</v>
      </c>
      <c r="AM760" s="117">
        <f t="shared" si="20"/>
        <v>5924</v>
      </c>
    </row>
    <row r="761" spans="1:39" s="90" customFormat="1" ht="18" customHeight="1" x14ac:dyDescent="0.3">
      <c r="A761" s="297">
        <v>476</v>
      </c>
      <c r="B761" s="11" t="s">
        <v>1168</v>
      </c>
      <c r="C761" s="88" t="s">
        <v>268</v>
      </c>
      <c r="D761" s="88" t="s">
        <v>958</v>
      </c>
      <c r="E761" s="31" t="s">
        <v>48</v>
      </c>
      <c r="F761" s="85" t="s">
        <v>49</v>
      </c>
      <c r="G761" s="375"/>
      <c r="H761" s="365">
        <v>25</v>
      </c>
      <c r="I761" s="379"/>
      <c r="J761" s="365">
        <v>4</v>
      </c>
      <c r="K761" s="120"/>
      <c r="L761" s="120"/>
      <c r="M761" s="120">
        <v>1110</v>
      </c>
      <c r="N761" s="120">
        <v>565</v>
      </c>
      <c r="O761" s="120">
        <v>114</v>
      </c>
      <c r="P761" s="120" t="s">
        <v>207</v>
      </c>
      <c r="Q761" s="120">
        <v>104</v>
      </c>
      <c r="R761" s="120" t="s">
        <v>207</v>
      </c>
      <c r="S761" s="120">
        <v>77</v>
      </c>
      <c r="T761" s="120" t="s">
        <v>207</v>
      </c>
      <c r="U761" s="120">
        <v>79</v>
      </c>
      <c r="V761" s="120" t="s">
        <v>207</v>
      </c>
      <c r="W761" s="120">
        <v>53</v>
      </c>
      <c r="X761" s="120" t="s">
        <v>207</v>
      </c>
      <c r="Y761" s="120">
        <v>111</v>
      </c>
      <c r="Z761" s="120" t="s">
        <v>207</v>
      </c>
      <c r="AA761" s="120">
        <v>81</v>
      </c>
      <c r="AB761" s="120" t="s">
        <v>207</v>
      </c>
      <c r="AC761" s="120">
        <v>46</v>
      </c>
      <c r="AD761" s="120" t="s">
        <v>207</v>
      </c>
      <c r="AE761" s="120">
        <v>85</v>
      </c>
      <c r="AF761" s="120" t="s">
        <v>207</v>
      </c>
      <c r="AG761" s="120">
        <v>81</v>
      </c>
      <c r="AH761" s="120" t="s">
        <v>207</v>
      </c>
      <c r="AI761" s="120">
        <v>73</v>
      </c>
      <c r="AJ761" s="120" t="s">
        <v>207</v>
      </c>
      <c r="AK761" s="120">
        <v>111</v>
      </c>
      <c r="AL761" s="120" t="s">
        <v>207</v>
      </c>
      <c r="AM761" s="117">
        <f t="shared" si="20"/>
        <v>1015</v>
      </c>
    </row>
    <row r="762" spans="1:39" s="90" customFormat="1" ht="18" customHeight="1" x14ac:dyDescent="0.3">
      <c r="A762" s="114">
        <v>477</v>
      </c>
      <c r="B762" s="11" t="s">
        <v>1169</v>
      </c>
      <c r="C762" s="88" t="s">
        <v>268</v>
      </c>
      <c r="D762" s="88" t="s">
        <v>958</v>
      </c>
      <c r="E762" s="31" t="s">
        <v>48</v>
      </c>
      <c r="F762" s="85" t="s">
        <v>49</v>
      </c>
      <c r="G762" s="375"/>
      <c r="H762" s="365">
        <v>32</v>
      </c>
      <c r="I762" s="379"/>
      <c r="J762" s="365">
        <v>4</v>
      </c>
      <c r="K762" s="120"/>
      <c r="L762" s="120"/>
      <c r="M762" s="120">
        <v>4368</v>
      </c>
      <c r="N762" s="120">
        <v>4332</v>
      </c>
      <c r="O762" s="120">
        <v>221</v>
      </c>
      <c r="P762" s="120" t="s">
        <v>207</v>
      </c>
      <c r="Q762" s="120">
        <v>327</v>
      </c>
      <c r="R762" s="120" t="s">
        <v>207</v>
      </c>
      <c r="S762" s="120">
        <v>374</v>
      </c>
      <c r="T762" s="120" t="s">
        <v>207</v>
      </c>
      <c r="U762" s="120">
        <v>477</v>
      </c>
      <c r="V762" s="120" t="s">
        <v>207</v>
      </c>
      <c r="W762" s="120">
        <v>410</v>
      </c>
      <c r="X762" s="120" t="s">
        <v>207</v>
      </c>
      <c r="Y762" s="120">
        <v>369</v>
      </c>
      <c r="Z762" s="120" t="s">
        <v>207</v>
      </c>
      <c r="AA762" s="120">
        <v>231</v>
      </c>
      <c r="AB762" s="120" t="s">
        <v>207</v>
      </c>
      <c r="AC762" s="120">
        <v>255</v>
      </c>
      <c r="AD762" s="120" t="s">
        <v>207</v>
      </c>
      <c r="AE762" s="120">
        <v>272</v>
      </c>
      <c r="AF762" s="120" t="s">
        <v>207</v>
      </c>
      <c r="AG762" s="120">
        <v>253</v>
      </c>
      <c r="AH762" s="120" t="s">
        <v>207</v>
      </c>
      <c r="AI762" s="120">
        <v>394</v>
      </c>
      <c r="AJ762" s="120" t="s">
        <v>207</v>
      </c>
      <c r="AK762" s="120">
        <v>414</v>
      </c>
      <c r="AL762" s="120" t="s">
        <v>207</v>
      </c>
      <c r="AM762" s="117">
        <f t="shared" si="20"/>
        <v>3997</v>
      </c>
    </row>
    <row r="763" spans="1:39" s="90" customFormat="1" ht="18" customHeight="1" x14ac:dyDescent="0.3">
      <c r="A763" s="114">
        <v>478</v>
      </c>
      <c r="B763" s="11" t="s">
        <v>1170</v>
      </c>
      <c r="C763" s="88" t="s">
        <v>268</v>
      </c>
      <c r="D763" s="88" t="s">
        <v>958</v>
      </c>
      <c r="E763" s="31" t="s">
        <v>48</v>
      </c>
      <c r="F763" s="85" t="s">
        <v>49</v>
      </c>
      <c r="G763" s="375"/>
      <c r="H763" s="365">
        <v>26</v>
      </c>
      <c r="I763" s="379"/>
      <c r="J763" s="365">
        <v>4</v>
      </c>
      <c r="K763" s="120"/>
      <c r="L763" s="120"/>
      <c r="M763" s="120">
        <v>2027</v>
      </c>
      <c r="N763" s="120">
        <v>4848</v>
      </c>
      <c r="O763" s="120">
        <v>866</v>
      </c>
      <c r="P763" s="120" t="s">
        <v>207</v>
      </c>
      <c r="Q763" s="120">
        <v>423</v>
      </c>
      <c r="R763" s="120" t="s">
        <v>207</v>
      </c>
      <c r="S763" s="120">
        <v>454</v>
      </c>
      <c r="T763" s="120" t="s">
        <v>207</v>
      </c>
      <c r="U763" s="120">
        <v>418</v>
      </c>
      <c r="V763" s="120" t="s">
        <v>207</v>
      </c>
      <c r="W763" s="120">
        <v>304</v>
      </c>
      <c r="X763" s="120" t="s">
        <v>207</v>
      </c>
      <c r="Y763" s="120">
        <v>392</v>
      </c>
      <c r="Z763" s="120" t="s">
        <v>207</v>
      </c>
      <c r="AA763" s="120">
        <v>280</v>
      </c>
      <c r="AB763" s="120" t="s">
        <v>207</v>
      </c>
      <c r="AC763" s="120">
        <v>257</v>
      </c>
      <c r="AD763" s="120" t="s">
        <v>207</v>
      </c>
      <c r="AE763" s="120">
        <v>443</v>
      </c>
      <c r="AF763" s="120" t="s">
        <v>207</v>
      </c>
      <c r="AG763" s="120">
        <v>403</v>
      </c>
      <c r="AH763" s="120" t="s">
        <v>207</v>
      </c>
      <c r="AI763" s="120">
        <v>389</v>
      </c>
      <c r="AJ763" s="120" t="s">
        <v>207</v>
      </c>
      <c r="AK763" s="120">
        <v>469</v>
      </c>
      <c r="AL763" s="120" t="s">
        <v>207</v>
      </c>
      <c r="AM763" s="117">
        <f t="shared" si="20"/>
        <v>5098</v>
      </c>
    </row>
    <row r="764" spans="1:39" s="90" customFormat="1" ht="18" customHeight="1" x14ac:dyDescent="0.3">
      <c r="A764" s="297">
        <v>479</v>
      </c>
      <c r="B764" s="11" t="s">
        <v>1171</v>
      </c>
      <c r="C764" s="88" t="s">
        <v>268</v>
      </c>
      <c r="D764" s="88" t="s">
        <v>958</v>
      </c>
      <c r="E764" s="31" t="s">
        <v>48</v>
      </c>
      <c r="F764" s="85" t="s">
        <v>49</v>
      </c>
      <c r="G764" s="375"/>
      <c r="H764" s="365">
        <v>32</v>
      </c>
      <c r="I764" s="379"/>
      <c r="J764" s="365">
        <v>4</v>
      </c>
      <c r="K764" s="120"/>
      <c r="L764" s="120"/>
      <c r="M764" s="120">
        <v>14369</v>
      </c>
      <c r="N764" s="120">
        <v>14871</v>
      </c>
      <c r="O764" s="120">
        <v>1939</v>
      </c>
      <c r="P764" s="120" t="s">
        <v>207</v>
      </c>
      <c r="Q764" s="120">
        <v>1789</v>
      </c>
      <c r="R764" s="120" t="s">
        <v>207</v>
      </c>
      <c r="S764" s="120">
        <v>1259</v>
      </c>
      <c r="T764" s="120" t="s">
        <v>207</v>
      </c>
      <c r="U764" s="120">
        <v>1353</v>
      </c>
      <c r="V764" s="120" t="s">
        <v>207</v>
      </c>
      <c r="W764" s="120">
        <v>949</v>
      </c>
      <c r="X764" s="120" t="s">
        <v>207</v>
      </c>
      <c r="Y764" s="120">
        <v>1137</v>
      </c>
      <c r="Z764" s="120" t="s">
        <v>207</v>
      </c>
      <c r="AA764" s="120">
        <v>704</v>
      </c>
      <c r="AB764" s="120" t="s">
        <v>207</v>
      </c>
      <c r="AC764" s="120">
        <v>520</v>
      </c>
      <c r="AD764" s="120" t="s">
        <v>207</v>
      </c>
      <c r="AE764" s="120">
        <v>1274</v>
      </c>
      <c r="AF764" s="120" t="s">
        <v>207</v>
      </c>
      <c r="AG764" s="120">
        <v>1300</v>
      </c>
      <c r="AH764" s="120" t="s">
        <v>207</v>
      </c>
      <c r="AI764" s="120">
        <v>1660</v>
      </c>
      <c r="AJ764" s="120" t="s">
        <v>207</v>
      </c>
      <c r="AK764" s="120">
        <v>2179</v>
      </c>
      <c r="AL764" s="120" t="s">
        <v>207</v>
      </c>
      <c r="AM764" s="117">
        <f t="shared" si="20"/>
        <v>16063</v>
      </c>
    </row>
    <row r="765" spans="1:39" s="90" customFormat="1" ht="18" customHeight="1" x14ac:dyDescent="0.3">
      <c r="A765" s="114">
        <v>480</v>
      </c>
      <c r="B765" s="11" t="s">
        <v>1172</v>
      </c>
      <c r="C765" s="88" t="s">
        <v>268</v>
      </c>
      <c r="D765" s="88" t="s">
        <v>958</v>
      </c>
      <c r="E765" s="31" t="s">
        <v>48</v>
      </c>
      <c r="F765" s="85" t="s">
        <v>49</v>
      </c>
      <c r="G765" s="375"/>
      <c r="H765" s="365">
        <v>32</v>
      </c>
      <c r="I765" s="379"/>
      <c r="J765" s="365">
        <v>4</v>
      </c>
      <c r="K765" s="120"/>
      <c r="L765" s="120"/>
      <c r="M765" s="120">
        <v>6538</v>
      </c>
      <c r="N765" s="120">
        <v>3785</v>
      </c>
      <c r="O765" s="120">
        <v>1103</v>
      </c>
      <c r="P765" s="120" t="s">
        <v>207</v>
      </c>
      <c r="Q765" s="120">
        <v>973</v>
      </c>
      <c r="R765" s="120" t="s">
        <v>207</v>
      </c>
      <c r="S765" s="120">
        <v>1138</v>
      </c>
      <c r="T765" s="120" t="s">
        <v>207</v>
      </c>
      <c r="U765" s="120">
        <v>784</v>
      </c>
      <c r="V765" s="120" t="s">
        <v>207</v>
      </c>
      <c r="W765" s="120">
        <v>848</v>
      </c>
      <c r="X765" s="120" t="s">
        <v>207</v>
      </c>
      <c r="Y765" s="120">
        <v>691</v>
      </c>
      <c r="Z765" s="120" t="s">
        <v>207</v>
      </c>
      <c r="AA765" s="120">
        <v>384</v>
      </c>
      <c r="AB765" s="120" t="s">
        <v>207</v>
      </c>
      <c r="AC765" s="120">
        <v>185</v>
      </c>
      <c r="AD765" s="120" t="s">
        <v>207</v>
      </c>
      <c r="AE765" s="120">
        <v>525</v>
      </c>
      <c r="AF765" s="120" t="s">
        <v>207</v>
      </c>
      <c r="AG765" s="120">
        <v>987</v>
      </c>
      <c r="AH765" s="120" t="s">
        <v>207</v>
      </c>
      <c r="AI765" s="120">
        <v>1277</v>
      </c>
      <c r="AJ765" s="120" t="s">
        <v>207</v>
      </c>
      <c r="AK765" s="120">
        <v>1407</v>
      </c>
      <c r="AL765" s="120" t="s">
        <v>207</v>
      </c>
      <c r="AM765" s="117">
        <f t="shared" si="20"/>
        <v>10302</v>
      </c>
    </row>
    <row r="766" spans="1:39" s="90" customFormat="1" ht="18" customHeight="1" x14ac:dyDescent="0.3">
      <c r="A766" s="114">
        <v>481</v>
      </c>
      <c r="B766" s="11" t="s">
        <v>1173</v>
      </c>
      <c r="C766" s="88" t="s">
        <v>268</v>
      </c>
      <c r="D766" s="88" t="s">
        <v>958</v>
      </c>
      <c r="E766" s="31" t="s">
        <v>48</v>
      </c>
      <c r="F766" s="85" t="s">
        <v>49</v>
      </c>
      <c r="G766" s="375"/>
      <c r="H766" s="365">
        <v>60</v>
      </c>
      <c r="I766" s="379"/>
      <c r="J766" s="365">
        <v>6</v>
      </c>
      <c r="K766" s="120"/>
      <c r="L766" s="120"/>
      <c r="M766" s="120">
        <v>51804</v>
      </c>
      <c r="N766" s="120">
        <v>31074</v>
      </c>
      <c r="O766" s="120">
        <v>1433</v>
      </c>
      <c r="P766" s="120" t="s">
        <v>207</v>
      </c>
      <c r="Q766" s="120">
        <v>1161</v>
      </c>
      <c r="R766" s="120" t="s">
        <v>207</v>
      </c>
      <c r="S766" s="120">
        <v>1824</v>
      </c>
      <c r="T766" s="120" t="s">
        <v>207</v>
      </c>
      <c r="U766" s="120">
        <v>1780</v>
      </c>
      <c r="V766" s="120" t="s">
        <v>207</v>
      </c>
      <c r="W766" s="120">
        <v>1290</v>
      </c>
      <c r="X766" s="120" t="s">
        <v>207</v>
      </c>
      <c r="Y766" s="120">
        <v>1863</v>
      </c>
      <c r="Z766" s="120" t="s">
        <v>207</v>
      </c>
      <c r="AA766" s="120">
        <v>1506</v>
      </c>
      <c r="AB766" s="120" t="s">
        <v>207</v>
      </c>
      <c r="AC766" s="120">
        <v>1158</v>
      </c>
      <c r="AD766" s="120" t="s">
        <v>207</v>
      </c>
      <c r="AE766" s="120">
        <v>1251</v>
      </c>
      <c r="AF766" s="120" t="s">
        <v>207</v>
      </c>
      <c r="AG766" s="120">
        <v>1860</v>
      </c>
      <c r="AH766" s="120" t="s">
        <v>207</v>
      </c>
      <c r="AI766" s="120">
        <v>1668</v>
      </c>
      <c r="AJ766" s="120" t="s">
        <v>207</v>
      </c>
      <c r="AK766" s="120">
        <v>1922</v>
      </c>
      <c r="AL766" s="120" t="s">
        <v>207</v>
      </c>
      <c r="AM766" s="117">
        <f t="shared" si="20"/>
        <v>18716</v>
      </c>
    </row>
    <row r="767" spans="1:39" s="90" customFormat="1" ht="18" customHeight="1" x14ac:dyDescent="0.3">
      <c r="A767" s="297">
        <v>482</v>
      </c>
      <c r="B767" s="11" t="s">
        <v>1174</v>
      </c>
      <c r="C767" s="88" t="s">
        <v>268</v>
      </c>
      <c r="D767" s="88" t="s">
        <v>958</v>
      </c>
      <c r="E767" s="31" t="s">
        <v>48</v>
      </c>
      <c r="F767" s="85" t="s">
        <v>49</v>
      </c>
      <c r="G767" s="375"/>
      <c r="H767" s="365">
        <v>60</v>
      </c>
      <c r="I767" s="379"/>
      <c r="J767" s="365">
        <v>6</v>
      </c>
      <c r="K767" s="120"/>
      <c r="L767" s="120"/>
      <c r="M767" s="120">
        <v>2738</v>
      </c>
      <c r="N767" s="120">
        <v>1771</v>
      </c>
      <c r="O767" s="120">
        <v>655</v>
      </c>
      <c r="P767" s="120" t="s">
        <v>207</v>
      </c>
      <c r="Q767" s="120">
        <v>796</v>
      </c>
      <c r="R767" s="120" t="s">
        <v>207</v>
      </c>
      <c r="S767" s="120">
        <v>469</v>
      </c>
      <c r="T767" s="120" t="s">
        <v>207</v>
      </c>
      <c r="U767" s="120">
        <v>759</v>
      </c>
      <c r="V767" s="120" t="s">
        <v>207</v>
      </c>
      <c r="W767" s="120">
        <v>439</v>
      </c>
      <c r="X767" s="120" t="s">
        <v>207</v>
      </c>
      <c r="Y767" s="120">
        <v>562</v>
      </c>
      <c r="Z767" s="120" t="s">
        <v>207</v>
      </c>
      <c r="AA767" s="120">
        <v>336</v>
      </c>
      <c r="AB767" s="120" t="s">
        <v>207</v>
      </c>
      <c r="AC767" s="120">
        <v>183</v>
      </c>
      <c r="AD767" s="120" t="s">
        <v>207</v>
      </c>
      <c r="AE767" s="120">
        <v>302</v>
      </c>
      <c r="AF767" s="120" t="s">
        <v>207</v>
      </c>
      <c r="AG767" s="120">
        <v>440</v>
      </c>
      <c r="AH767" s="120" t="s">
        <v>207</v>
      </c>
      <c r="AI767" s="120">
        <v>1065</v>
      </c>
      <c r="AJ767" s="120" t="s">
        <v>207</v>
      </c>
      <c r="AK767" s="120">
        <v>632</v>
      </c>
      <c r="AL767" s="120" t="s">
        <v>207</v>
      </c>
      <c r="AM767" s="117">
        <f t="shared" si="20"/>
        <v>6638</v>
      </c>
    </row>
    <row r="768" spans="1:39" s="90" customFormat="1" ht="18" customHeight="1" x14ac:dyDescent="0.3">
      <c r="A768" s="114">
        <v>483</v>
      </c>
      <c r="B768" s="11" t="s">
        <v>1175</v>
      </c>
      <c r="C768" s="88" t="s">
        <v>268</v>
      </c>
      <c r="D768" s="88" t="s">
        <v>958</v>
      </c>
      <c r="E768" s="31" t="s">
        <v>48</v>
      </c>
      <c r="F768" s="85" t="s">
        <v>49</v>
      </c>
      <c r="G768" s="375"/>
      <c r="H768" s="365">
        <v>62</v>
      </c>
      <c r="I768" s="379"/>
      <c r="J768" s="365">
        <v>6</v>
      </c>
      <c r="K768" s="120"/>
      <c r="L768" s="120"/>
      <c r="M768" s="120">
        <v>3104</v>
      </c>
      <c r="N768" s="120">
        <v>3675</v>
      </c>
      <c r="O768" s="120">
        <v>298</v>
      </c>
      <c r="P768" s="120" t="s">
        <v>207</v>
      </c>
      <c r="Q768" s="120">
        <v>269</v>
      </c>
      <c r="R768" s="120" t="s">
        <v>207</v>
      </c>
      <c r="S768" s="120">
        <v>298</v>
      </c>
      <c r="T768" s="120" t="s">
        <v>207</v>
      </c>
      <c r="U768" s="120">
        <v>298</v>
      </c>
      <c r="V768" s="120" t="s">
        <v>207</v>
      </c>
      <c r="W768" s="120">
        <v>0</v>
      </c>
      <c r="X768" s="120" t="s">
        <v>207</v>
      </c>
      <c r="Y768" s="120">
        <v>0</v>
      </c>
      <c r="Z768" s="120" t="s">
        <v>207</v>
      </c>
      <c r="AA768" s="120">
        <v>0</v>
      </c>
      <c r="AB768" s="120" t="s">
        <v>207</v>
      </c>
      <c r="AC768" s="120">
        <v>0</v>
      </c>
      <c r="AD768" s="120" t="s">
        <v>207</v>
      </c>
      <c r="AE768" s="120">
        <v>0</v>
      </c>
      <c r="AF768" s="120" t="s">
        <v>207</v>
      </c>
      <c r="AG768" s="120">
        <v>0</v>
      </c>
      <c r="AH768" s="120" t="s">
        <v>207</v>
      </c>
      <c r="AI768" s="120">
        <v>0</v>
      </c>
      <c r="AJ768" s="120" t="s">
        <v>207</v>
      </c>
      <c r="AK768" s="120">
        <v>0</v>
      </c>
      <c r="AL768" s="120" t="s">
        <v>207</v>
      </c>
      <c r="AM768" s="117">
        <f t="shared" si="20"/>
        <v>1163</v>
      </c>
    </row>
    <row r="769" spans="1:39" s="90" customFormat="1" ht="18" customHeight="1" x14ac:dyDescent="0.3">
      <c r="A769" s="114">
        <v>484</v>
      </c>
      <c r="B769" s="11" t="s">
        <v>1176</v>
      </c>
      <c r="C769" s="88" t="s">
        <v>268</v>
      </c>
      <c r="D769" s="88" t="s">
        <v>958</v>
      </c>
      <c r="E769" s="31" t="s">
        <v>48</v>
      </c>
      <c r="F769" s="85" t="s">
        <v>49</v>
      </c>
      <c r="G769" s="375"/>
      <c r="H769" s="365">
        <v>63</v>
      </c>
      <c r="I769" s="379"/>
      <c r="J769" s="365">
        <v>5</v>
      </c>
      <c r="K769" s="120"/>
      <c r="L769" s="120"/>
      <c r="M769" s="120"/>
      <c r="N769" s="120"/>
      <c r="O769" s="120"/>
      <c r="P769" s="120" t="s">
        <v>207</v>
      </c>
      <c r="Q769" s="120"/>
      <c r="R769" s="120" t="s">
        <v>207</v>
      </c>
      <c r="S769" s="120"/>
      <c r="T769" s="120" t="s">
        <v>207</v>
      </c>
      <c r="U769" s="120"/>
      <c r="V769" s="120" t="s">
        <v>207</v>
      </c>
      <c r="W769" s="120"/>
      <c r="X769" s="120" t="s">
        <v>207</v>
      </c>
      <c r="Y769" s="120"/>
      <c r="Z769" s="120" t="s">
        <v>207</v>
      </c>
      <c r="AA769" s="120"/>
      <c r="AB769" s="120" t="s">
        <v>207</v>
      </c>
      <c r="AC769" s="120"/>
      <c r="AD769" s="120" t="s">
        <v>207</v>
      </c>
      <c r="AE769" s="120"/>
      <c r="AF769" s="120" t="s">
        <v>207</v>
      </c>
      <c r="AG769" s="120"/>
      <c r="AH769" s="120" t="s">
        <v>207</v>
      </c>
      <c r="AI769" s="120"/>
      <c r="AJ769" s="120" t="s">
        <v>207</v>
      </c>
      <c r="AK769" s="120"/>
      <c r="AL769" s="120" t="s">
        <v>207</v>
      </c>
      <c r="AM769" s="117">
        <f t="shared" si="20"/>
        <v>0</v>
      </c>
    </row>
    <row r="770" spans="1:39" s="90" customFormat="1" ht="18" customHeight="1" x14ac:dyDescent="0.3">
      <c r="A770" s="297">
        <v>485</v>
      </c>
      <c r="B770" s="11" t="s">
        <v>1177</v>
      </c>
      <c r="C770" s="88" t="s">
        <v>268</v>
      </c>
      <c r="D770" s="88" t="s">
        <v>958</v>
      </c>
      <c r="E770" s="31" t="s">
        <v>48</v>
      </c>
      <c r="F770" s="85" t="s">
        <v>49</v>
      </c>
      <c r="G770" s="375"/>
      <c r="H770" s="365">
        <v>24</v>
      </c>
      <c r="I770" s="379"/>
      <c r="J770" s="365">
        <v>3</v>
      </c>
      <c r="K770" s="120"/>
      <c r="L770" s="120"/>
      <c r="M770" s="120"/>
      <c r="N770" s="120"/>
      <c r="O770" s="120"/>
      <c r="P770" s="120" t="s">
        <v>207</v>
      </c>
      <c r="Q770" s="120"/>
      <c r="R770" s="120" t="s">
        <v>207</v>
      </c>
      <c r="S770" s="120"/>
      <c r="T770" s="120" t="s">
        <v>207</v>
      </c>
      <c r="U770" s="120"/>
      <c r="V770" s="120" t="s">
        <v>207</v>
      </c>
      <c r="W770" s="120"/>
      <c r="X770" s="120" t="s">
        <v>207</v>
      </c>
      <c r="Y770" s="120"/>
      <c r="Z770" s="120" t="s">
        <v>207</v>
      </c>
      <c r="AA770" s="120"/>
      <c r="AB770" s="120" t="s">
        <v>207</v>
      </c>
      <c r="AC770" s="120"/>
      <c r="AD770" s="120" t="s">
        <v>207</v>
      </c>
      <c r="AE770" s="120"/>
      <c r="AF770" s="120" t="s">
        <v>207</v>
      </c>
      <c r="AG770" s="120"/>
      <c r="AH770" s="120" t="s">
        <v>207</v>
      </c>
      <c r="AI770" s="120"/>
      <c r="AJ770" s="120" t="s">
        <v>207</v>
      </c>
      <c r="AK770" s="120"/>
      <c r="AL770" s="120" t="s">
        <v>207</v>
      </c>
      <c r="AM770" s="117">
        <f t="shared" si="20"/>
        <v>0</v>
      </c>
    </row>
    <row r="771" spans="1:39" s="90" customFormat="1" ht="18" customHeight="1" x14ac:dyDescent="0.3">
      <c r="A771" s="114">
        <v>486</v>
      </c>
      <c r="B771" s="11" t="s">
        <v>1178</v>
      </c>
      <c r="C771" s="88" t="s">
        <v>268</v>
      </c>
      <c r="D771" s="88" t="s">
        <v>958</v>
      </c>
      <c r="E771" s="31" t="s">
        <v>48</v>
      </c>
      <c r="F771" s="85" t="s">
        <v>49</v>
      </c>
      <c r="G771" s="375"/>
      <c r="H771" s="365">
        <v>25</v>
      </c>
      <c r="I771" s="379"/>
      <c r="J771" s="365">
        <v>3</v>
      </c>
      <c r="K771" s="120"/>
      <c r="L771" s="120"/>
      <c r="M771" s="120"/>
      <c r="N771" s="120"/>
      <c r="O771" s="120"/>
      <c r="P771" s="120" t="s">
        <v>207</v>
      </c>
      <c r="Q771" s="120"/>
      <c r="R771" s="120" t="s">
        <v>207</v>
      </c>
      <c r="S771" s="120"/>
      <c r="T771" s="120" t="s">
        <v>207</v>
      </c>
      <c r="U771" s="120"/>
      <c r="V771" s="120" t="s">
        <v>207</v>
      </c>
      <c r="W771" s="120"/>
      <c r="X771" s="120" t="s">
        <v>207</v>
      </c>
      <c r="Y771" s="120"/>
      <c r="Z771" s="120" t="s">
        <v>207</v>
      </c>
      <c r="AA771" s="120"/>
      <c r="AB771" s="120" t="s">
        <v>207</v>
      </c>
      <c r="AC771" s="120"/>
      <c r="AD771" s="120" t="s">
        <v>207</v>
      </c>
      <c r="AE771" s="120"/>
      <c r="AF771" s="120" t="s">
        <v>207</v>
      </c>
      <c r="AG771" s="120"/>
      <c r="AH771" s="120" t="s">
        <v>207</v>
      </c>
      <c r="AI771" s="120"/>
      <c r="AJ771" s="120" t="s">
        <v>207</v>
      </c>
      <c r="AK771" s="120"/>
      <c r="AL771" s="120" t="s">
        <v>207</v>
      </c>
      <c r="AM771" s="117">
        <f t="shared" si="20"/>
        <v>0</v>
      </c>
    </row>
    <row r="772" spans="1:39" s="90" customFormat="1" ht="18" customHeight="1" x14ac:dyDescent="0.3">
      <c r="A772" s="114">
        <v>487</v>
      </c>
      <c r="B772" s="11" t="s">
        <v>1179</v>
      </c>
      <c r="C772" s="88" t="s">
        <v>268</v>
      </c>
      <c r="D772" s="88" t="s">
        <v>958</v>
      </c>
      <c r="E772" s="31" t="s">
        <v>48</v>
      </c>
      <c r="F772" s="85" t="s">
        <v>49</v>
      </c>
      <c r="G772" s="375"/>
      <c r="H772" s="365">
        <v>26</v>
      </c>
      <c r="I772" s="379"/>
      <c r="J772" s="365">
        <v>4</v>
      </c>
      <c r="K772" s="120"/>
      <c r="L772" s="120"/>
      <c r="M772" s="120"/>
      <c r="N772" s="120"/>
      <c r="O772" s="120"/>
      <c r="P772" s="120" t="s">
        <v>207</v>
      </c>
      <c r="Q772" s="120"/>
      <c r="R772" s="120" t="s">
        <v>207</v>
      </c>
      <c r="S772" s="120"/>
      <c r="T772" s="120" t="s">
        <v>207</v>
      </c>
      <c r="U772" s="120"/>
      <c r="V772" s="120" t="s">
        <v>207</v>
      </c>
      <c r="W772" s="120"/>
      <c r="X772" s="120" t="s">
        <v>207</v>
      </c>
      <c r="Y772" s="120"/>
      <c r="Z772" s="120" t="s">
        <v>207</v>
      </c>
      <c r="AA772" s="120"/>
      <c r="AB772" s="120" t="s">
        <v>207</v>
      </c>
      <c r="AC772" s="120"/>
      <c r="AD772" s="120" t="s">
        <v>207</v>
      </c>
      <c r="AE772" s="120"/>
      <c r="AF772" s="120" t="s">
        <v>207</v>
      </c>
      <c r="AG772" s="120"/>
      <c r="AH772" s="120" t="s">
        <v>207</v>
      </c>
      <c r="AI772" s="120"/>
      <c r="AJ772" s="120" t="s">
        <v>207</v>
      </c>
      <c r="AK772" s="120"/>
      <c r="AL772" s="120" t="s">
        <v>207</v>
      </c>
      <c r="AM772" s="117">
        <f t="shared" si="20"/>
        <v>0</v>
      </c>
    </row>
    <row r="773" spans="1:39" s="90" customFormat="1" ht="18" customHeight="1" x14ac:dyDescent="0.3">
      <c r="A773" s="297">
        <v>488</v>
      </c>
      <c r="B773" s="11" t="s">
        <v>1180</v>
      </c>
      <c r="C773" s="88" t="s">
        <v>268</v>
      </c>
      <c r="D773" s="88" t="s">
        <v>958</v>
      </c>
      <c r="E773" s="31" t="s">
        <v>48</v>
      </c>
      <c r="F773" s="85" t="s">
        <v>49</v>
      </c>
      <c r="G773" s="375"/>
      <c r="H773" s="365">
        <v>24</v>
      </c>
      <c r="I773" s="379"/>
      <c r="J773" s="365">
        <v>3</v>
      </c>
      <c r="K773" s="120"/>
      <c r="L773" s="120"/>
      <c r="M773" s="120"/>
      <c r="N773" s="120"/>
      <c r="O773" s="120"/>
      <c r="P773" s="120" t="s">
        <v>207</v>
      </c>
      <c r="Q773" s="120"/>
      <c r="R773" s="120" t="s">
        <v>207</v>
      </c>
      <c r="S773" s="120"/>
      <c r="T773" s="120" t="s">
        <v>207</v>
      </c>
      <c r="U773" s="120"/>
      <c r="V773" s="120" t="s">
        <v>207</v>
      </c>
      <c r="W773" s="120"/>
      <c r="X773" s="120" t="s">
        <v>207</v>
      </c>
      <c r="Y773" s="120"/>
      <c r="Z773" s="120" t="s">
        <v>207</v>
      </c>
      <c r="AA773" s="120"/>
      <c r="AB773" s="120" t="s">
        <v>207</v>
      </c>
      <c r="AC773" s="120"/>
      <c r="AD773" s="120" t="s">
        <v>207</v>
      </c>
      <c r="AE773" s="120"/>
      <c r="AF773" s="120" t="s">
        <v>207</v>
      </c>
      <c r="AG773" s="120"/>
      <c r="AH773" s="120" t="s">
        <v>207</v>
      </c>
      <c r="AI773" s="120"/>
      <c r="AJ773" s="120" t="s">
        <v>207</v>
      </c>
      <c r="AK773" s="120"/>
      <c r="AL773" s="120" t="s">
        <v>207</v>
      </c>
      <c r="AM773" s="117">
        <f t="shared" si="20"/>
        <v>0</v>
      </c>
    </row>
    <row r="774" spans="1:39" s="90" customFormat="1" ht="18" customHeight="1" x14ac:dyDescent="0.3">
      <c r="A774" s="114">
        <v>489</v>
      </c>
      <c r="B774" s="11" t="s">
        <v>1181</v>
      </c>
      <c r="C774" s="88" t="s">
        <v>268</v>
      </c>
      <c r="D774" s="88" t="s">
        <v>958</v>
      </c>
      <c r="E774" s="31" t="s">
        <v>48</v>
      </c>
      <c r="F774" s="85" t="s">
        <v>49</v>
      </c>
      <c r="G774" s="375"/>
      <c r="H774" s="365">
        <v>30</v>
      </c>
      <c r="I774" s="379"/>
      <c r="J774" s="365">
        <v>3</v>
      </c>
      <c r="K774" s="120"/>
      <c r="L774" s="120"/>
      <c r="M774" s="120"/>
      <c r="N774" s="120"/>
      <c r="O774" s="120"/>
      <c r="P774" s="120" t="s">
        <v>207</v>
      </c>
      <c r="Q774" s="120"/>
      <c r="R774" s="120" t="s">
        <v>207</v>
      </c>
      <c r="S774" s="120"/>
      <c r="T774" s="120" t="s">
        <v>207</v>
      </c>
      <c r="U774" s="120"/>
      <c r="V774" s="120" t="s">
        <v>207</v>
      </c>
      <c r="W774" s="120"/>
      <c r="X774" s="120" t="s">
        <v>207</v>
      </c>
      <c r="Y774" s="120"/>
      <c r="Z774" s="120" t="s">
        <v>207</v>
      </c>
      <c r="AA774" s="120"/>
      <c r="AB774" s="120" t="s">
        <v>207</v>
      </c>
      <c r="AC774" s="120"/>
      <c r="AD774" s="120" t="s">
        <v>207</v>
      </c>
      <c r="AE774" s="120"/>
      <c r="AF774" s="120" t="s">
        <v>207</v>
      </c>
      <c r="AG774" s="120"/>
      <c r="AH774" s="120" t="s">
        <v>207</v>
      </c>
      <c r="AI774" s="120"/>
      <c r="AJ774" s="120" t="s">
        <v>207</v>
      </c>
      <c r="AK774" s="120"/>
      <c r="AL774" s="120" t="s">
        <v>207</v>
      </c>
      <c r="AM774" s="117">
        <f t="shared" si="20"/>
        <v>0</v>
      </c>
    </row>
    <row r="775" spans="1:39" s="90" customFormat="1" ht="18" customHeight="1" x14ac:dyDescent="0.3">
      <c r="A775" s="114">
        <v>490</v>
      </c>
      <c r="B775" s="11" t="s">
        <v>1182</v>
      </c>
      <c r="C775" s="88" t="s">
        <v>268</v>
      </c>
      <c r="D775" s="88" t="s">
        <v>958</v>
      </c>
      <c r="E775" s="31" t="s">
        <v>48</v>
      </c>
      <c r="F775" s="85" t="s">
        <v>49</v>
      </c>
      <c r="G775" s="375"/>
      <c r="H775" s="365">
        <v>32</v>
      </c>
      <c r="I775" s="379"/>
      <c r="J775" s="365">
        <v>4</v>
      </c>
      <c r="K775" s="120"/>
      <c r="L775" s="120"/>
      <c r="M775" s="120">
        <v>5831</v>
      </c>
      <c r="N775" s="120">
        <v>6619</v>
      </c>
      <c r="O775" s="120">
        <v>450</v>
      </c>
      <c r="P775" s="120" t="s">
        <v>207</v>
      </c>
      <c r="Q775" s="120">
        <v>450</v>
      </c>
      <c r="R775" s="120" t="s">
        <v>207</v>
      </c>
      <c r="S775" s="120">
        <v>450</v>
      </c>
      <c r="T775" s="120" t="s">
        <v>207</v>
      </c>
      <c r="U775" s="120">
        <v>450</v>
      </c>
      <c r="V775" s="120" t="s">
        <v>207</v>
      </c>
      <c r="W775" s="120">
        <v>450</v>
      </c>
      <c r="X775" s="120" t="s">
        <v>207</v>
      </c>
      <c r="Y775" s="120">
        <v>450</v>
      </c>
      <c r="Z775" s="120" t="s">
        <v>207</v>
      </c>
      <c r="AA775" s="120">
        <v>0</v>
      </c>
      <c r="AB775" s="120" t="s">
        <v>207</v>
      </c>
      <c r="AC775" s="120">
        <v>0</v>
      </c>
      <c r="AD775" s="120" t="s">
        <v>207</v>
      </c>
      <c r="AE775" s="120">
        <v>0</v>
      </c>
      <c r="AF775" s="120" t="s">
        <v>207</v>
      </c>
      <c r="AG775" s="120">
        <v>0</v>
      </c>
      <c r="AH775" s="120" t="s">
        <v>207</v>
      </c>
      <c r="AI775" s="120">
        <v>0</v>
      </c>
      <c r="AJ775" s="120" t="s">
        <v>207</v>
      </c>
      <c r="AK775" s="120">
        <v>0</v>
      </c>
      <c r="AL775" s="120" t="s">
        <v>207</v>
      </c>
      <c r="AM775" s="117">
        <f t="shared" si="20"/>
        <v>2700</v>
      </c>
    </row>
    <row r="776" spans="1:39" s="90" customFormat="1" ht="18" customHeight="1" x14ac:dyDescent="0.3">
      <c r="A776" s="297">
        <v>491</v>
      </c>
      <c r="B776" s="11" t="s">
        <v>1183</v>
      </c>
      <c r="C776" s="88" t="s">
        <v>268</v>
      </c>
      <c r="D776" s="88" t="s">
        <v>958</v>
      </c>
      <c r="E776" s="31" t="s">
        <v>48</v>
      </c>
      <c r="F776" s="85" t="s">
        <v>49</v>
      </c>
      <c r="G776" s="375"/>
      <c r="H776" s="365">
        <v>24</v>
      </c>
      <c r="I776" s="379"/>
      <c r="J776" s="365">
        <v>3</v>
      </c>
      <c r="K776" s="120"/>
      <c r="L776" s="120"/>
      <c r="M776" s="120"/>
      <c r="N776" s="120"/>
      <c r="O776" s="120"/>
      <c r="P776" s="120" t="s">
        <v>207</v>
      </c>
      <c r="Q776" s="120"/>
      <c r="R776" s="120" t="s">
        <v>207</v>
      </c>
      <c r="S776" s="120"/>
      <c r="T776" s="120" t="s">
        <v>207</v>
      </c>
      <c r="U776" s="120"/>
      <c r="V776" s="120" t="s">
        <v>207</v>
      </c>
      <c r="W776" s="120"/>
      <c r="X776" s="120" t="s">
        <v>207</v>
      </c>
      <c r="Y776" s="120"/>
      <c r="Z776" s="120" t="s">
        <v>207</v>
      </c>
      <c r="AA776" s="120"/>
      <c r="AB776" s="120" t="s">
        <v>207</v>
      </c>
      <c r="AC776" s="120"/>
      <c r="AD776" s="120" t="s">
        <v>207</v>
      </c>
      <c r="AE776" s="120"/>
      <c r="AF776" s="120" t="s">
        <v>207</v>
      </c>
      <c r="AG776" s="120"/>
      <c r="AH776" s="120" t="s">
        <v>207</v>
      </c>
      <c r="AI776" s="120"/>
      <c r="AJ776" s="120" t="s">
        <v>207</v>
      </c>
      <c r="AK776" s="120"/>
      <c r="AL776" s="120" t="s">
        <v>207</v>
      </c>
      <c r="AM776" s="117">
        <f t="shared" si="20"/>
        <v>0</v>
      </c>
    </row>
    <row r="777" spans="1:39" s="90" customFormat="1" ht="18" customHeight="1" x14ac:dyDescent="0.3">
      <c r="A777" s="114">
        <v>492</v>
      </c>
      <c r="B777" s="11" t="s">
        <v>1184</v>
      </c>
      <c r="C777" s="88" t="s">
        <v>268</v>
      </c>
      <c r="D777" s="88" t="s">
        <v>958</v>
      </c>
      <c r="E777" s="31" t="s">
        <v>48</v>
      </c>
      <c r="F777" s="85" t="s">
        <v>49</v>
      </c>
      <c r="G777" s="375"/>
      <c r="H777" s="365">
        <v>23</v>
      </c>
      <c r="I777" s="379"/>
      <c r="J777" s="365">
        <v>3</v>
      </c>
      <c r="K777" s="120"/>
      <c r="L777" s="120"/>
      <c r="M777" s="120"/>
      <c r="N777" s="120"/>
      <c r="O777" s="120"/>
      <c r="P777" s="120" t="s">
        <v>207</v>
      </c>
      <c r="Q777" s="120"/>
      <c r="R777" s="120" t="s">
        <v>207</v>
      </c>
      <c r="S777" s="120"/>
      <c r="T777" s="120" t="s">
        <v>207</v>
      </c>
      <c r="U777" s="120"/>
      <c r="V777" s="120" t="s">
        <v>207</v>
      </c>
      <c r="W777" s="120"/>
      <c r="X777" s="120" t="s">
        <v>207</v>
      </c>
      <c r="Y777" s="120"/>
      <c r="Z777" s="120" t="s">
        <v>207</v>
      </c>
      <c r="AA777" s="120"/>
      <c r="AB777" s="120" t="s">
        <v>207</v>
      </c>
      <c r="AC777" s="120"/>
      <c r="AD777" s="120" t="s">
        <v>207</v>
      </c>
      <c r="AE777" s="120"/>
      <c r="AF777" s="120" t="s">
        <v>207</v>
      </c>
      <c r="AG777" s="120"/>
      <c r="AH777" s="120" t="s">
        <v>207</v>
      </c>
      <c r="AI777" s="120"/>
      <c r="AJ777" s="120" t="s">
        <v>207</v>
      </c>
      <c r="AK777" s="120"/>
      <c r="AL777" s="120" t="s">
        <v>207</v>
      </c>
      <c r="AM777" s="117">
        <f t="shared" si="20"/>
        <v>0</v>
      </c>
    </row>
    <row r="778" spans="1:39" s="90" customFormat="1" ht="18" customHeight="1" x14ac:dyDescent="0.3">
      <c r="A778" s="114">
        <v>493</v>
      </c>
      <c r="B778" s="11" t="s">
        <v>1185</v>
      </c>
      <c r="C778" s="88" t="s">
        <v>268</v>
      </c>
      <c r="D778" s="88" t="s">
        <v>958</v>
      </c>
      <c r="E778" s="31" t="s">
        <v>48</v>
      </c>
      <c r="F778" s="85" t="s">
        <v>49</v>
      </c>
      <c r="G778" s="375"/>
      <c r="H778" s="365">
        <v>24</v>
      </c>
      <c r="I778" s="379"/>
      <c r="J778" s="365">
        <v>3</v>
      </c>
      <c r="K778" s="120"/>
      <c r="L778" s="120"/>
      <c r="M778" s="120">
        <v>36316</v>
      </c>
      <c r="N778" s="120">
        <v>1671</v>
      </c>
      <c r="O778" s="120">
        <v>188</v>
      </c>
      <c r="P778" s="120" t="s">
        <v>207</v>
      </c>
      <c r="Q778" s="120">
        <v>147</v>
      </c>
      <c r="R778" s="120" t="s">
        <v>207</v>
      </c>
      <c r="S778" s="120">
        <v>0</v>
      </c>
      <c r="T778" s="120" t="s">
        <v>207</v>
      </c>
      <c r="U778" s="120">
        <v>0</v>
      </c>
      <c r="V778" s="120" t="s">
        <v>207</v>
      </c>
      <c r="W778" s="120">
        <v>0</v>
      </c>
      <c r="X778" s="120" t="s">
        <v>207</v>
      </c>
      <c r="Y778" s="120">
        <v>0</v>
      </c>
      <c r="Z778" s="120" t="s">
        <v>207</v>
      </c>
      <c r="AA778" s="120">
        <v>0</v>
      </c>
      <c r="AB778" s="120" t="s">
        <v>207</v>
      </c>
      <c r="AC778" s="120">
        <v>0</v>
      </c>
      <c r="AD778" s="120" t="s">
        <v>207</v>
      </c>
      <c r="AE778" s="120">
        <v>171</v>
      </c>
      <c r="AF778" s="120" t="s">
        <v>207</v>
      </c>
      <c r="AG778" s="120">
        <v>813</v>
      </c>
      <c r="AH778" s="120" t="s">
        <v>207</v>
      </c>
      <c r="AI778" s="120">
        <v>1105</v>
      </c>
      <c r="AJ778" s="120" t="s">
        <v>207</v>
      </c>
      <c r="AK778" s="120">
        <v>1465</v>
      </c>
      <c r="AL778" s="120" t="s">
        <v>207</v>
      </c>
      <c r="AM778" s="117">
        <f t="shared" si="20"/>
        <v>3889</v>
      </c>
    </row>
    <row r="779" spans="1:39" s="90" customFormat="1" ht="18" customHeight="1" x14ac:dyDescent="0.3">
      <c r="A779" s="297">
        <v>494</v>
      </c>
      <c r="B779" s="11" t="s">
        <v>1186</v>
      </c>
      <c r="C779" s="88" t="s">
        <v>268</v>
      </c>
      <c r="D779" s="88" t="s">
        <v>958</v>
      </c>
      <c r="E779" s="31" t="s">
        <v>48</v>
      </c>
      <c r="F779" s="85" t="s">
        <v>49</v>
      </c>
      <c r="G779" s="375"/>
      <c r="H779" s="365">
        <v>25</v>
      </c>
      <c r="I779" s="379"/>
      <c r="J779" s="365">
        <v>4</v>
      </c>
      <c r="K779" s="120"/>
      <c r="L779" s="120"/>
      <c r="M779" s="120">
        <v>29626</v>
      </c>
      <c r="N779" s="120">
        <v>29044</v>
      </c>
      <c r="O779" s="120">
        <v>0</v>
      </c>
      <c r="P779" s="120" t="s">
        <v>207</v>
      </c>
      <c r="Q779" s="120">
        <v>0</v>
      </c>
      <c r="R779" s="120" t="s">
        <v>207</v>
      </c>
      <c r="S779" s="120">
        <v>0</v>
      </c>
      <c r="T779" s="120" t="s">
        <v>207</v>
      </c>
      <c r="U779" s="120">
        <v>0</v>
      </c>
      <c r="V779" s="120" t="s">
        <v>207</v>
      </c>
      <c r="W779" s="120">
        <v>0</v>
      </c>
      <c r="X779" s="120" t="s">
        <v>207</v>
      </c>
      <c r="Y779" s="120">
        <v>0</v>
      </c>
      <c r="Z779" s="120" t="s">
        <v>207</v>
      </c>
      <c r="AA779" s="120">
        <v>4865</v>
      </c>
      <c r="AB779" s="120" t="s">
        <v>207</v>
      </c>
      <c r="AC779" s="120">
        <v>1305</v>
      </c>
      <c r="AD779" s="120" t="s">
        <v>207</v>
      </c>
      <c r="AE779" s="120">
        <v>1494</v>
      </c>
      <c r="AF779" s="120" t="s">
        <v>207</v>
      </c>
      <c r="AG779" s="120">
        <v>1803</v>
      </c>
      <c r="AH779" s="120" t="s">
        <v>207</v>
      </c>
      <c r="AI779" s="120">
        <v>2050</v>
      </c>
      <c r="AJ779" s="120" t="s">
        <v>207</v>
      </c>
      <c r="AK779" s="120">
        <v>3015</v>
      </c>
      <c r="AL779" s="120" t="s">
        <v>207</v>
      </c>
      <c r="AM779" s="117">
        <f t="shared" si="20"/>
        <v>14532</v>
      </c>
    </row>
    <row r="780" spans="1:39" s="90" customFormat="1" ht="18" customHeight="1" x14ac:dyDescent="0.3">
      <c r="A780" s="114">
        <v>495</v>
      </c>
      <c r="B780" s="11" t="s">
        <v>1187</v>
      </c>
      <c r="C780" s="88" t="s">
        <v>268</v>
      </c>
      <c r="D780" s="88" t="s">
        <v>958</v>
      </c>
      <c r="E780" s="31" t="s">
        <v>48</v>
      </c>
      <c r="F780" s="85" t="s">
        <v>49</v>
      </c>
      <c r="G780" s="375"/>
      <c r="H780" s="365">
        <v>8</v>
      </c>
      <c r="I780" s="379"/>
      <c r="J780" s="365">
        <v>1</v>
      </c>
      <c r="K780" s="120"/>
      <c r="L780" s="120"/>
      <c r="M780" s="120">
        <v>13471</v>
      </c>
      <c r="N780" s="120">
        <v>1157</v>
      </c>
      <c r="O780" s="120">
        <v>115</v>
      </c>
      <c r="P780" s="120" t="s">
        <v>207</v>
      </c>
      <c r="Q780" s="120">
        <v>42</v>
      </c>
      <c r="R780" s="120" t="s">
        <v>207</v>
      </c>
      <c r="S780" s="120">
        <v>33</v>
      </c>
      <c r="T780" s="120" t="s">
        <v>207</v>
      </c>
      <c r="U780" s="120">
        <v>48</v>
      </c>
      <c r="V780" s="120" t="s">
        <v>207</v>
      </c>
      <c r="W780" s="120">
        <v>45</v>
      </c>
      <c r="X780" s="120" t="s">
        <v>207</v>
      </c>
      <c r="Y780" s="120">
        <v>12</v>
      </c>
      <c r="Z780" s="120" t="s">
        <v>207</v>
      </c>
      <c r="AA780" s="120">
        <v>17</v>
      </c>
      <c r="AB780" s="120" t="s">
        <v>207</v>
      </c>
      <c r="AC780" s="120">
        <v>19</v>
      </c>
      <c r="AD780" s="120" t="s">
        <v>207</v>
      </c>
      <c r="AE780" s="120">
        <v>20</v>
      </c>
      <c r="AF780" s="120" t="s">
        <v>207</v>
      </c>
      <c r="AG780" s="120">
        <v>19</v>
      </c>
      <c r="AH780" s="120" t="s">
        <v>207</v>
      </c>
      <c r="AI780" s="120">
        <v>48</v>
      </c>
      <c r="AJ780" s="120" t="s">
        <v>207</v>
      </c>
      <c r="AK780" s="120">
        <v>29</v>
      </c>
      <c r="AL780" s="120" t="s">
        <v>207</v>
      </c>
      <c r="AM780" s="117">
        <f t="shared" si="20"/>
        <v>447</v>
      </c>
    </row>
    <row r="781" spans="1:39" s="90" customFormat="1" ht="18" customHeight="1" x14ac:dyDescent="0.3">
      <c r="A781" s="114">
        <v>496</v>
      </c>
      <c r="B781" s="11" t="s">
        <v>1188</v>
      </c>
      <c r="C781" s="88" t="s">
        <v>268</v>
      </c>
      <c r="D781" s="88" t="s">
        <v>958</v>
      </c>
      <c r="E781" s="31" t="s">
        <v>48</v>
      </c>
      <c r="F781" s="85" t="s">
        <v>49</v>
      </c>
      <c r="G781" s="375"/>
      <c r="H781" s="365">
        <v>9</v>
      </c>
      <c r="I781" s="379"/>
      <c r="J781" s="365">
        <v>1</v>
      </c>
      <c r="K781" s="120"/>
      <c r="L781" s="120"/>
      <c r="M781" s="120">
        <v>1410</v>
      </c>
      <c r="N781" s="120">
        <v>4833</v>
      </c>
      <c r="O781" s="120">
        <v>186</v>
      </c>
      <c r="P781" s="120" t="s">
        <v>207</v>
      </c>
      <c r="Q781" s="120">
        <v>117</v>
      </c>
      <c r="R781" s="120" t="s">
        <v>207</v>
      </c>
      <c r="S781" s="120">
        <v>87</v>
      </c>
      <c r="T781" s="120" t="s">
        <v>207</v>
      </c>
      <c r="U781" s="120">
        <v>38</v>
      </c>
      <c r="V781" s="120" t="s">
        <v>207</v>
      </c>
      <c r="W781" s="120">
        <v>47</v>
      </c>
      <c r="X781" s="120" t="s">
        <v>207</v>
      </c>
      <c r="Y781" s="120">
        <v>115</v>
      </c>
      <c r="Z781" s="120" t="s">
        <v>207</v>
      </c>
      <c r="AA781" s="120">
        <v>60</v>
      </c>
      <c r="AB781" s="120" t="s">
        <v>207</v>
      </c>
      <c r="AC781" s="120">
        <v>65</v>
      </c>
      <c r="AD781" s="120" t="s">
        <v>207</v>
      </c>
      <c r="AE781" s="120">
        <v>162</v>
      </c>
      <c r="AF781" s="120" t="s">
        <v>207</v>
      </c>
      <c r="AG781" s="120">
        <v>165</v>
      </c>
      <c r="AH781" s="120" t="s">
        <v>207</v>
      </c>
      <c r="AI781" s="120">
        <v>135</v>
      </c>
      <c r="AJ781" s="120" t="s">
        <v>207</v>
      </c>
      <c r="AK781" s="120">
        <v>141</v>
      </c>
      <c r="AL781" s="120" t="s">
        <v>207</v>
      </c>
      <c r="AM781" s="117">
        <f t="shared" si="20"/>
        <v>1318</v>
      </c>
    </row>
    <row r="782" spans="1:39" s="90" customFormat="1" ht="18" customHeight="1" x14ac:dyDescent="0.3">
      <c r="A782" s="297">
        <v>497</v>
      </c>
      <c r="B782" s="11" t="s">
        <v>1189</v>
      </c>
      <c r="C782" s="88" t="s">
        <v>268</v>
      </c>
      <c r="D782" s="88" t="s">
        <v>958</v>
      </c>
      <c r="E782" s="31" t="s">
        <v>48</v>
      </c>
      <c r="F782" s="85" t="s">
        <v>49</v>
      </c>
      <c r="G782" s="375"/>
      <c r="H782" s="365">
        <v>10</v>
      </c>
      <c r="I782" s="379"/>
      <c r="J782" s="365">
        <v>1</v>
      </c>
      <c r="K782" s="120"/>
      <c r="L782" s="120"/>
      <c r="M782" s="120">
        <v>8579</v>
      </c>
      <c r="N782" s="120">
        <v>5200</v>
      </c>
      <c r="O782" s="120">
        <v>1513</v>
      </c>
      <c r="P782" s="120" t="s">
        <v>207</v>
      </c>
      <c r="Q782" s="120">
        <v>1115</v>
      </c>
      <c r="R782" s="120" t="s">
        <v>207</v>
      </c>
      <c r="S782" s="120">
        <v>708</v>
      </c>
      <c r="T782" s="120" t="s">
        <v>207</v>
      </c>
      <c r="U782" s="120">
        <v>647</v>
      </c>
      <c r="V782" s="120" t="s">
        <v>207</v>
      </c>
      <c r="W782" s="120">
        <v>583</v>
      </c>
      <c r="X782" s="120" t="s">
        <v>207</v>
      </c>
      <c r="Y782" s="120">
        <v>818</v>
      </c>
      <c r="Z782" s="120" t="s">
        <v>207</v>
      </c>
      <c r="AA782" s="120">
        <v>379</v>
      </c>
      <c r="AB782" s="120" t="s">
        <v>207</v>
      </c>
      <c r="AC782" s="120">
        <v>472</v>
      </c>
      <c r="AD782" s="120" t="s">
        <v>207</v>
      </c>
      <c r="AE782" s="120">
        <v>744</v>
      </c>
      <c r="AF782" s="120" t="s">
        <v>207</v>
      </c>
      <c r="AG782" s="120">
        <v>847</v>
      </c>
      <c r="AH782" s="120" t="s">
        <v>207</v>
      </c>
      <c r="AI782" s="120">
        <v>738</v>
      </c>
      <c r="AJ782" s="120" t="s">
        <v>207</v>
      </c>
      <c r="AK782" s="120">
        <v>1463</v>
      </c>
      <c r="AL782" s="120" t="s">
        <v>207</v>
      </c>
      <c r="AM782" s="117">
        <f t="shared" si="20"/>
        <v>10027</v>
      </c>
    </row>
    <row r="783" spans="1:39" s="90" customFormat="1" ht="18" customHeight="1" x14ac:dyDescent="0.3">
      <c r="A783" s="114">
        <v>498</v>
      </c>
      <c r="B783" s="11" t="s">
        <v>1190</v>
      </c>
      <c r="C783" s="88" t="s">
        <v>268</v>
      </c>
      <c r="D783" s="88" t="s">
        <v>958</v>
      </c>
      <c r="E783" s="31" t="s">
        <v>48</v>
      </c>
      <c r="F783" s="85" t="s">
        <v>49</v>
      </c>
      <c r="G783" s="375"/>
      <c r="H783" s="365">
        <v>12</v>
      </c>
      <c r="I783" s="379"/>
      <c r="J783" s="365">
        <v>1</v>
      </c>
      <c r="K783" s="120"/>
      <c r="L783" s="120"/>
      <c r="M783" s="120">
        <v>5137</v>
      </c>
      <c r="N783" s="120">
        <v>4631</v>
      </c>
      <c r="O783" s="120">
        <v>789</v>
      </c>
      <c r="P783" s="120" t="s">
        <v>207</v>
      </c>
      <c r="Q783" s="120">
        <v>654</v>
      </c>
      <c r="R783" s="120" t="s">
        <v>207</v>
      </c>
      <c r="S783" s="120">
        <v>463</v>
      </c>
      <c r="T783" s="120" t="s">
        <v>207</v>
      </c>
      <c r="U783" s="120">
        <v>308</v>
      </c>
      <c r="V783" s="120" t="s">
        <v>207</v>
      </c>
      <c r="W783" s="120">
        <v>226</v>
      </c>
      <c r="X783" s="120" t="s">
        <v>207</v>
      </c>
      <c r="Y783" s="120">
        <v>217</v>
      </c>
      <c r="Z783" s="120" t="s">
        <v>207</v>
      </c>
      <c r="AA783" s="120">
        <v>282</v>
      </c>
      <c r="AB783" s="120" t="s">
        <v>207</v>
      </c>
      <c r="AC783" s="120">
        <v>257</v>
      </c>
      <c r="AD783" s="120" t="s">
        <v>207</v>
      </c>
      <c r="AE783" s="120">
        <v>329</v>
      </c>
      <c r="AF783" s="120" t="s">
        <v>207</v>
      </c>
      <c r="AG783" s="120">
        <v>290</v>
      </c>
      <c r="AH783" s="120" t="s">
        <v>207</v>
      </c>
      <c r="AI783" s="120">
        <v>290</v>
      </c>
      <c r="AJ783" s="120" t="s">
        <v>207</v>
      </c>
      <c r="AK783" s="120">
        <v>1488</v>
      </c>
      <c r="AL783" s="120" t="s">
        <v>207</v>
      </c>
      <c r="AM783" s="117">
        <f t="shared" si="20"/>
        <v>5593</v>
      </c>
    </row>
    <row r="784" spans="1:39" s="90" customFormat="1" ht="18" customHeight="1" x14ac:dyDescent="0.3">
      <c r="A784" s="114">
        <v>499</v>
      </c>
      <c r="B784" s="11" t="s">
        <v>1191</v>
      </c>
      <c r="C784" s="88" t="s">
        <v>268</v>
      </c>
      <c r="D784" s="88" t="s">
        <v>958</v>
      </c>
      <c r="E784" s="31" t="s">
        <v>48</v>
      </c>
      <c r="F784" s="85" t="s">
        <v>49</v>
      </c>
      <c r="G784" s="375"/>
      <c r="H784" s="365">
        <v>12</v>
      </c>
      <c r="I784" s="379"/>
      <c r="J784" s="365">
        <v>1</v>
      </c>
      <c r="K784" s="120"/>
      <c r="L784" s="120"/>
      <c r="M784" s="120">
        <v>5226</v>
      </c>
      <c r="N784" s="120">
        <v>3587</v>
      </c>
      <c r="O784" s="120">
        <v>386</v>
      </c>
      <c r="P784" s="120" t="s">
        <v>207</v>
      </c>
      <c r="Q784" s="120">
        <v>262</v>
      </c>
      <c r="R784" s="120" t="s">
        <v>207</v>
      </c>
      <c r="S784" s="120">
        <v>238</v>
      </c>
      <c r="T784" s="120" t="s">
        <v>207</v>
      </c>
      <c r="U784" s="120">
        <v>360</v>
      </c>
      <c r="V784" s="120" t="s">
        <v>207</v>
      </c>
      <c r="W784" s="120">
        <v>301</v>
      </c>
      <c r="X784" s="120" t="s">
        <v>207</v>
      </c>
      <c r="Y784" s="120">
        <v>411</v>
      </c>
      <c r="Z784" s="120" t="s">
        <v>207</v>
      </c>
      <c r="AA784" s="120">
        <v>384</v>
      </c>
      <c r="AB784" s="120" t="s">
        <v>207</v>
      </c>
      <c r="AC784" s="120">
        <v>481</v>
      </c>
      <c r="AD784" s="120" t="s">
        <v>207</v>
      </c>
      <c r="AE784" s="120">
        <v>536</v>
      </c>
      <c r="AF784" s="120" t="s">
        <v>207</v>
      </c>
      <c r="AG784" s="120">
        <v>346</v>
      </c>
      <c r="AH784" s="120" t="s">
        <v>207</v>
      </c>
      <c r="AI784" s="120">
        <v>374</v>
      </c>
      <c r="AJ784" s="120" t="s">
        <v>207</v>
      </c>
      <c r="AK784" s="120">
        <v>554</v>
      </c>
      <c r="AL784" s="120" t="s">
        <v>207</v>
      </c>
      <c r="AM784" s="117">
        <f t="shared" si="20"/>
        <v>4633</v>
      </c>
    </row>
    <row r="785" spans="1:39" s="90" customFormat="1" ht="18" customHeight="1" x14ac:dyDescent="0.3">
      <c r="A785" s="297">
        <v>500</v>
      </c>
      <c r="B785" s="11" t="s">
        <v>1192</v>
      </c>
      <c r="C785" s="88" t="s">
        <v>268</v>
      </c>
      <c r="D785" s="88" t="s">
        <v>958</v>
      </c>
      <c r="E785" s="31" t="s">
        <v>48</v>
      </c>
      <c r="F785" s="85" t="s">
        <v>49</v>
      </c>
      <c r="G785" s="375"/>
      <c r="H785" s="365">
        <v>8</v>
      </c>
      <c r="I785" s="379"/>
      <c r="J785" s="365">
        <v>1</v>
      </c>
      <c r="K785" s="120"/>
      <c r="L785" s="120"/>
      <c r="M785" s="120">
        <v>4174</v>
      </c>
      <c r="N785" s="120">
        <v>1815</v>
      </c>
      <c r="O785" s="120">
        <v>256</v>
      </c>
      <c r="P785" s="120" t="s">
        <v>207</v>
      </c>
      <c r="Q785" s="120">
        <v>166</v>
      </c>
      <c r="R785" s="120" t="s">
        <v>207</v>
      </c>
      <c r="S785" s="120">
        <v>312</v>
      </c>
      <c r="T785" s="120" t="s">
        <v>207</v>
      </c>
      <c r="U785" s="120">
        <v>209</v>
      </c>
      <c r="V785" s="120" t="s">
        <v>207</v>
      </c>
      <c r="W785" s="120">
        <v>209</v>
      </c>
      <c r="X785" s="120" t="s">
        <v>207</v>
      </c>
      <c r="Y785" s="120">
        <v>380</v>
      </c>
      <c r="Z785" s="120" t="s">
        <v>207</v>
      </c>
      <c r="AA785" s="120">
        <v>279</v>
      </c>
      <c r="AB785" s="120" t="s">
        <v>207</v>
      </c>
      <c r="AC785" s="120">
        <v>245</v>
      </c>
      <c r="AD785" s="120" t="s">
        <v>207</v>
      </c>
      <c r="AE785" s="120">
        <v>284</v>
      </c>
      <c r="AF785" s="120" t="s">
        <v>207</v>
      </c>
      <c r="AG785" s="120">
        <v>185</v>
      </c>
      <c r="AH785" s="120" t="s">
        <v>207</v>
      </c>
      <c r="AI785" s="120">
        <v>160</v>
      </c>
      <c r="AJ785" s="120" t="s">
        <v>207</v>
      </c>
      <c r="AK785" s="120">
        <v>300</v>
      </c>
      <c r="AL785" s="120" t="s">
        <v>207</v>
      </c>
      <c r="AM785" s="117">
        <f t="shared" si="20"/>
        <v>2985</v>
      </c>
    </row>
    <row r="786" spans="1:39" s="90" customFormat="1" ht="18" customHeight="1" x14ac:dyDescent="0.3">
      <c r="A786" s="114">
        <v>501</v>
      </c>
      <c r="B786" s="11" t="s">
        <v>1193</v>
      </c>
      <c r="C786" s="88" t="s">
        <v>268</v>
      </c>
      <c r="D786" s="88" t="s">
        <v>958</v>
      </c>
      <c r="E786" s="31" t="s">
        <v>48</v>
      </c>
      <c r="F786" s="85" t="s">
        <v>49</v>
      </c>
      <c r="G786" s="375"/>
      <c r="H786" s="365">
        <v>12</v>
      </c>
      <c r="I786" s="379"/>
      <c r="J786" s="365">
        <v>2</v>
      </c>
      <c r="K786" s="120"/>
      <c r="L786" s="120"/>
      <c r="M786" s="120">
        <v>4071</v>
      </c>
      <c r="N786" s="120">
        <v>2705</v>
      </c>
      <c r="O786" s="120">
        <v>332</v>
      </c>
      <c r="P786" s="120" t="s">
        <v>207</v>
      </c>
      <c r="Q786" s="120">
        <v>262</v>
      </c>
      <c r="R786" s="120" t="s">
        <v>207</v>
      </c>
      <c r="S786" s="120">
        <v>348</v>
      </c>
      <c r="T786" s="120" t="s">
        <v>207</v>
      </c>
      <c r="U786" s="120">
        <v>299</v>
      </c>
      <c r="V786" s="120" t="s">
        <v>207</v>
      </c>
      <c r="W786" s="120">
        <v>152</v>
      </c>
      <c r="X786" s="120" t="s">
        <v>207</v>
      </c>
      <c r="Y786" s="120">
        <v>128</v>
      </c>
      <c r="Z786" s="120" t="s">
        <v>207</v>
      </c>
      <c r="AA786" s="120">
        <v>58</v>
      </c>
      <c r="AB786" s="120" t="s">
        <v>207</v>
      </c>
      <c r="AC786" s="120">
        <v>200</v>
      </c>
      <c r="AD786" s="120" t="s">
        <v>207</v>
      </c>
      <c r="AE786" s="120">
        <v>339</v>
      </c>
      <c r="AF786" s="120" t="s">
        <v>207</v>
      </c>
      <c r="AG786" s="120">
        <v>218</v>
      </c>
      <c r="AH786" s="120" t="s">
        <v>207</v>
      </c>
      <c r="AI786" s="120">
        <v>152</v>
      </c>
      <c r="AJ786" s="120" t="s">
        <v>207</v>
      </c>
      <c r="AK786" s="120">
        <v>342</v>
      </c>
      <c r="AL786" s="120" t="s">
        <v>207</v>
      </c>
      <c r="AM786" s="117">
        <f t="shared" si="20"/>
        <v>2830</v>
      </c>
    </row>
    <row r="787" spans="1:39" s="90" customFormat="1" ht="18" customHeight="1" x14ac:dyDescent="0.3">
      <c r="A787" s="114">
        <v>502</v>
      </c>
      <c r="B787" s="11" t="s">
        <v>1194</v>
      </c>
      <c r="C787" s="88" t="s">
        <v>268</v>
      </c>
      <c r="D787" s="88" t="s">
        <v>958</v>
      </c>
      <c r="E787" s="31" t="s">
        <v>48</v>
      </c>
      <c r="F787" s="85" t="s">
        <v>49</v>
      </c>
      <c r="G787" s="375"/>
      <c r="H787" s="365">
        <v>8</v>
      </c>
      <c r="I787" s="379"/>
      <c r="J787" s="365">
        <v>1</v>
      </c>
      <c r="K787" s="120"/>
      <c r="L787" s="120"/>
      <c r="M787" s="120">
        <v>4183</v>
      </c>
      <c r="N787" s="120">
        <v>2233</v>
      </c>
      <c r="O787" s="120">
        <v>465</v>
      </c>
      <c r="P787" s="120" t="s">
        <v>207</v>
      </c>
      <c r="Q787" s="120">
        <v>404</v>
      </c>
      <c r="R787" s="120" t="s">
        <v>207</v>
      </c>
      <c r="S787" s="120">
        <v>372</v>
      </c>
      <c r="T787" s="120" t="s">
        <v>207</v>
      </c>
      <c r="U787" s="120">
        <v>307</v>
      </c>
      <c r="V787" s="120" t="s">
        <v>207</v>
      </c>
      <c r="W787" s="120">
        <v>275</v>
      </c>
      <c r="X787" s="120" t="s">
        <v>207</v>
      </c>
      <c r="Y787" s="120">
        <v>338</v>
      </c>
      <c r="Z787" s="120" t="s">
        <v>207</v>
      </c>
      <c r="AA787" s="120">
        <v>262</v>
      </c>
      <c r="AB787" s="120" t="s">
        <v>207</v>
      </c>
      <c r="AC787" s="120">
        <v>204</v>
      </c>
      <c r="AD787" s="120" t="s">
        <v>207</v>
      </c>
      <c r="AE787" s="120">
        <v>88</v>
      </c>
      <c r="AF787" s="120" t="s">
        <v>207</v>
      </c>
      <c r="AG787" s="120">
        <v>247</v>
      </c>
      <c r="AH787" s="120" t="s">
        <v>207</v>
      </c>
      <c r="AI787" s="120">
        <v>248</v>
      </c>
      <c r="AJ787" s="120" t="s">
        <v>207</v>
      </c>
      <c r="AK787" s="120">
        <v>330</v>
      </c>
      <c r="AL787" s="120" t="s">
        <v>207</v>
      </c>
      <c r="AM787" s="117">
        <f t="shared" si="20"/>
        <v>3540</v>
      </c>
    </row>
    <row r="788" spans="1:39" s="90" customFormat="1" ht="18" customHeight="1" x14ac:dyDescent="0.3">
      <c r="A788" s="297">
        <v>503</v>
      </c>
      <c r="B788" s="11" t="s">
        <v>1195</v>
      </c>
      <c r="C788" s="88" t="s">
        <v>268</v>
      </c>
      <c r="D788" s="88" t="s">
        <v>958</v>
      </c>
      <c r="E788" s="31" t="s">
        <v>48</v>
      </c>
      <c r="F788" s="85" t="s">
        <v>49</v>
      </c>
      <c r="G788" s="375"/>
      <c r="H788" s="365">
        <v>7</v>
      </c>
      <c r="I788" s="379"/>
      <c r="J788" s="365">
        <v>1</v>
      </c>
      <c r="K788" s="120"/>
      <c r="L788" s="120"/>
      <c r="M788" s="120">
        <v>1087</v>
      </c>
      <c r="N788" s="120">
        <v>1010</v>
      </c>
      <c r="O788" s="120">
        <v>159</v>
      </c>
      <c r="P788" s="120" t="s">
        <v>207</v>
      </c>
      <c r="Q788" s="120">
        <v>137</v>
      </c>
      <c r="R788" s="120" t="s">
        <v>207</v>
      </c>
      <c r="S788" s="120">
        <v>118</v>
      </c>
      <c r="T788" s="120" t="s">
        <v>207</v>
      </c>
      <c r="U788" s="120">
        <v>55</v>
      </c>
      <c r="V788" s="120" t="s">
        <v>207</v>
      </c>
      <c r="W788" s="120">
        <v>79</v>
      </c>
      <c r="X788" s="120" t="s">
        <v>207</v>
      </c>
      <c r="Y788" s="120">
        <v>94</v>
      </c>
      <c r="Z788" s="120" t="s">
        <v>207</v>
      </c>
      <c r="AA788" s="120">
        <v>39</v>
      </c>
      <c r="AB788" s="120" t="s">
        <v>207</v>
      </c>
      <c r="AC788" s="120">
        <v>80</v>
      </c>
      <c r="AD788" s="120" t="s">
        <v>207</v>
      </c>
      <c r="AE788" s="120">
        <v>111</v>
      </c>
      <c r="AF788" s="120" t="s">
        <v>207</v>
      </c>
      <c r="AG788" s="120">
        <v>103</v>
      </c>
      <c r="AH788" s="120" t="s">
        <v>207</v>
      </c>
      <c r="AI788" s="120">
        <v>129</v>
      </c>
      <c r="AJ788" s="120" t="s">
        <v>207</v>
      </c>
      <c r="AK788" s="120">
        <v>152</v>
      </c>
      <c r="AL788" s="120" t="s">
        <v>207</v>
      </c>
      <c r="AM788" s="117">
        <f t="shared" si="20"/>
        <v>1256</v>
      </c>
    </row>
    <row r="789" spans="1:39" s="90" customFormat="1" ht="18" customHeight="1" x14ac:dyDescent="0.3">
      <c r="A789" s="114">
        <v>504</v>
      </c>
      <c r="B789" s="11" t="s">
        <v>1196</v>
      </c>
      <c r="C789" s="88" t="s">
        <v>268</v>
      </c>
      <c r="D789" s="88" t="s">
        <v>958</v>
      </c>
      <c r="E789" s="31" t="s">
        <v>48</v>
      </c>
      <c r="F789" s="85" t="s">
        <v>49</v>
      </c>
      <c r="G789" s="375"/>
      <c r="H789" s="365">
        <v>7</v>
      </c>
      <c r="I789" s="379"/>
      <c r="J789" s="365">
        <v>1</v>
      </c>
      <c r="K789" s="120"/>
      <c r="L789" s="120"/>
      <c r="M789" s="120"/>
      <c r="N789" s="120"/>
      <c r="O789" s="120"/>
      <c r="P789" s="120" t="s">
        <v>207</v>
      </c>
      <c r="Q789" s="120"/>
      <c r="R789" s="120" t="s">
        <v>207</v>
      </c>
      <c r="S789" s="120"/>
      <c r="T789" s="120" t="s">
        <v>207</v>
      </c>
      <c r="U789" s="120"/>
      <c r="V789" s="120" t="s">
        <v>207</v>
      </c>
      <c r="W789" s="120"/>
      <c r="X789" s="120" t="s">
        <v>207</v>
      </c>
      <c r="Y789" s="120"/>
      <c r="Z789" s="120" t="s">
        <v>207</v>
      </c>
      <c r="AA789" s="120"/>
      <c r="AB789" s="120" t="s">
        <v>207</v>
      </c>
      <c r="AC789" s="120"/>
      <c r="AD789" s="120" t="s">
        <v>207</v>
      </c>
      <c r="AE789" s="120"/>
      <c r="AF789" s="120" t="s">
        <v>207</v>
      </c>
      <c r="AG789" s="120"/>
      <c r="AH789" s="120" t="s">
        <v>207</v>
      </c>
      <c r="AI789" s="120"/>
      <c r="AJ789" s="120" t="s">
        <v>207</v>
      </c>
      <c r="AK789" s="120"/>
      <c r="AL789" s="120" t="s">
        <v>207</v>
      </c>
      <c r="AM789" s="117">
        <f t="shared" si="20"/>
        <v>0</v>
      </c>
    </row>
    <row r="790" spans="1:39" s="90" customFormat="1" ht="18" customHeight="1" x14ac:dyDescent="0.3">
      <c r="A790" s="114">
        <v>505</v>
      </c>
      <c r="B790" s="11" t="s">
        <v>1197</v>
      </c>
      <c r="C790" s="88" t="s">
        <v>268</v>
      </c>
      <c r="D790" s="88" t="s">
        <v>958</v>
      </c>
      <c r="E790" s="31" t="s">
        <v>48</v>
      </c>
      <c r="F790" s="85" t="s">
        <v>49</v>
      </c>
      <c r="G790" s="375"/>
      <c r="H790" s="365">
        <v>8</v>
      </c>
      <c r="I790" s="379"/>
      <c r="J790" s="365">
        <v>1</v>
      </c>
      <c r="K790" s="120"/>
      <c r="L790" s="120"/>
      <c r="M790" s="120"/>
      <c r="N790" s="120"/>
      <c r="O790" s="120"/>
      <c r="P790" s="120" t="s">
        <v>207</v>
      </c>
      <c r="Q790" s="120"/>
      <c r="R790" s="120" t="s">
        <v>207</v>
      </c>
      <c r="S790" s="120"/>
      <c r="T790" s="120" t="s">
        <v>207</v>
      </c>
      <c r="U790" s="120"/>
      <c r="V790" s="120" t="s">
        <v>207</v>
      </c>
      <c r="W790" s="120"/>
      <c r="X790" s="120" t="s">
        <v>207</v>
      </c>
      <c r="Y790" s="120"/>
      <c r="Z790" s="120" t="s">
        <v>207</v>
      </c>
      <c r="AA790" s="120"/>
      <c r="AB790" s="120" t="s">
        <v>207</v>
      </c>
      <c r="AC790" s="120"/>
      <c r="AD790" s="120" t="s">
        <v>207</v>
      </c>
      <c r="AE790" s="120"/>
      <c r="AF790" s="120" t="s">
        <v>207</v>
      </c>
      <c r="AG790" s="120"/>
      <c r="AH790" s="120" t="s">
        <v>207</v>
      </c>
      <c r="AI790" s="120"/>
      <c r="AJ790" s="120" t="s">
        <v>207</v>
      </c>
      <c r="AK790" s="120"/>
      <c r="AL790" s="120" t="s">
        <v>207</v>
      </c>
      <c r="AM790" s="117">
        <f t="shared" si="20"/>
        <v>0</v>
      </c>
    </row>
    <row r="791" spans="1:39" s="90" customFormat="1" ht="18" customHeight="1" x14ac:dyDescent="0.3">
      <c r="A791" s="297">
        <v>506</v>
      </c>
      <c r="B791" s="11" t="s">
        <v>1198</v>
      </c>
      <c r="C791" s="88" t="s">
        <v>268</v>
      </c>
      <c r="D791" s="88" t="s">
        <v>958</v>
      </c>
      <c r="E791" s="31" t="s">
        <v>48</v>
      </c>
      <c r="F791" s="85" t="s">
        <v>49</v>
      </c>
      <c r="G791" s="375"/>
      <c r="H791" s="365">
        <v>12</v>
      </c>
      <c r="I791" s="379"/>
      <c r="J791" s="365">
        <v>1</v>
      </c>
      <c r="K791" s="120"/>
      <c r="L791" s="120"/>
      <c r="M791" s="120"/>
      <c r="N791" s="120"/>
      <c r="O791" s="120"/>
      <c r="P791" s="120" t="s">
        <v>207</v>
      </c>
      <c r="Q791" s="120"/>
      <c r="R791" s="120" t="s">
        <v>207</v>
      </c>
      <c r="S791" s="120"/>
      <c r="T791" s="120" t="s">
        <v>207</v>
      </c>
      <c r="U791" s="120"/>
      <c r="V791" s="120" t="s">
        <v>207</v>
      </c>
      <c r="W791" s="120"/>
      <c r="X791" s="120" t="s">
        <v>207</v>
      </c>
      <c r="Y791" s="120"/>
      <c r="Z791" s="120" t="s">
        <v>207</v>
      </c>
      <c r="AA791" s="120"/>
      <c r="AB791" s="120" t="s">
        <v>207</v>
      </c>
      <c r="AC791" s="120"/>
      <c r="AD791" s="120" t="s">
        <v>207</v>
      </c>
      <c r="AE791" s="120"/>
      <c r="AF791" s="120" t="s">
        <v>207</v>
      </c>
      <c r="AG791" s="120"/>
      <c r="AH791" s="120" t="s">
        <v>207</v>
      </c>
      <c r="AI791" s="120"/>
      <c r="AJ791" s="120" t="s">
        <v>207</v>
      </c>
      <c r="AK791" s="120"/>
      <c r="AL791" s="120" t="s">
        <v>207</v>
      </c>
      <c r="AM791" s="117">
        <f t="shared" si="20"/>
        <v>0</v>
      </c>
    </row>
    <row r="792" spans="1:39" s="90" customFormat="1" ht="18" customHeight="1" x14ac:dyDescent="0.3">
      <c r="A792" s="114">
        <v>507</v>
      </c>
      <c r="B792" s="11" t="s">
        <v>1199</v>
      </c>
      <c r="C792" s="88" t="s">
        <v>268</v>
      </c>
      <c r="D792" s="88" t="s">
        <v>958</v>
      </c>
      <c r="E792" s="31" t="s">
        <v>48</v>
      </c>
      <c r="F792" s="85" t="s">
        <v>49</v>
      </c>
      <c r="G792" s="375"/>
      <c r="H792" s="365">
        <v>14</v>
      </c>
      <c r="I792" s="379"/>
      <c r="J792" s="365">
        <v>1</v>
      </c>
      <c r="K792" s="120"/>
      <c r="L792" s="120"/>
      <c r="M792" s="120"/>
      <c r="N792" s="120"/>
      <c r="O792" s="120"/>
      <c r="P792" s="120" t="s">
        <v>207</v>
      </c>
      <c r="Q792" s="120"/>
      <c r="R792" s="120" t="s">
        <v>207</v>
      </c>
      <c r="S792" s="120"/>
      <c r="T792" s="120" t="s">
        <v>207</v>
      </c>
      <c r="U792" s="120"/>
      <c r="V792" s="120" t="s">
        <v>207</v>
      </c>
      <c r="W792" s="120"/>
      <c r="X792" s="120" t="s">
        <v>207</v>
      </c>
      <c r="Y792" s="120"/>
      <c r="Z792" s="120" t="s">
        <v>207</v>
      </c>
      <c r="AA792" s="120"/>
      <c r="AB792" s="120" t="s">
        <v>207</v>
      </c>
      <c r="AC792" s="120"/>
      <c r="AD792" s="120" t="s">
        <v>207</v>
      </c>
      <c r="AE792" s="120"/>
      <c r="AF792" s="120" t="s">
        <v>207</v>
      </c>
      <c r="AG792" s="120"/>
      <c r="AH792" s="120" t="s">
        <v>207</v>
      </c>
      <c r="AI792" s="120"/>
      <c r="AJ792" s="120" t="s">
        <v>207</v>
      </c>
      <c r="AK792" s="120"/>
      <c r="AL792" s="120" t="s">
        <v>207</v>
      </c>
      <c r="AM792" s="117">
        <f t="shared" si="20"/>
        <v>0</v>
      </c>
    </row>
    <row r="793" spans="1:39" s="90" customFormat="1" ht="18" customHeight="1" x14ac:dyDescent="0.3">
      <c r="A793" s="114">
        <v>508</v>
      </c>
      <c r="B793" s="11" t="s">
        <v>1200</v>
      </c>
      <c r="C793" s="88" t="s">
        <v>268</v>
      </c>
      <c r="D793" s="88" t="s">
        <v>958</v>
      </c>
      <c r="E793" s="31" t="s">
        <v>48</v>
      </c>
      <c r="F793" s="85" t="s">
        <v>49</v>
      </c>
      <c r="G793" s="375"/>
      <c r="H793" s="365">
        <v>7</v>
      </c>
      <c r="I793" s="379"/>
      <c r="J793" s="365">
        <v>1</v>
      </c>
      <c r="K793" s="120"/>
      <c r="L793" s="120"/>
      <c r="M793" s="120"/>
      <c r="N793" s="120"/>
      <c r="O793" s="120"/>
      <c r="P793" s="120" t="s">
        <v>207</v>
      </c>
      <c r="Q793" s="120"/>
      <c r="R793" s="120" t="s">
        <v>207</v>
      </c>
      <c r="S793" s="120"/>
      <c r="T793" s="120" t="s">
        <v>207</v>
      </c>
      <c r="U793" s="120"/>
      <c r="V793" s="120" t="s">
        <v>207</v>
      </c>
      <c r="W793" s="120"/>
      <c r="X793" s="120" t="s">
        <v>207</v>
      </c>
      <c r="Y793" s="120"/>
      <c r="Z793" s="120" t="s">
        <v>207</v>
      </c>
      <c r="AA793" s="120"/>
      <c r="AB793" s="120" t="s">
        <v>207</v>
      </c>
      <c r="AC793" s="120"/>
      <c r="AD793" s="120" t="s">
        <v>207</v>
      </c>
      <c r="AE793" s="120"/>
      <c r="AF793" s="120" t="s">
        <v>207</v>
      </c>
      <c r="AG793" s="120"/>
      <c r="AH793" s="120" t="s">
        <v>207</v>
      </c>
      <c r="AI793" s="120"/>
      <c r="AJ793" s="120" t="s">
        <v>207</v>
      </c>
      <c r="AK793" s="120"/>
      <c r="AL793" s="120" t="s">
        <v>207</v>
      </c>
      <c r="AM793" s="117">
        <f t="shared" si="20"/>
        <v>0</v>
      </c>
    </row>
    <row r="794" spans="1:39" s="90" customFormat="1" ht="18" customHeight="1" x14ac:dyDescent="0.3">
      <c r="A794" s="297">
        <v>509</v>
      </c>
      <c r="B794" s="11" t="s">
        <v>1201</v>
      </c>
      <c r="C794" s="88" t="s">
        <v>268</v>
      </c>
      <c r="D794" s="88" t="s">
        <v>958</v>
      </c>
      <c r="E794" s="31" t="s">
        <v>48</v>
      </c>
      <c r="F794" s="85" t="s">
        <v>49</v>
      </c>
      <c r="G794" s="375"/>
      <c r="H794" s="365">
        <v>5</v>
      </c>
      <c r="I794" s="379"/>
      <c r="J794" s="365">
        <v>1</v>
      </c>
      <c r="K794" s="120"/>
      <c r="L794" s="120"/>
      <c r="M794" s="120"/>
      <c r="N794" s="120"/>
      <c r="O794" s="120"/>
      <c r="P794" s="120" t="s">
        <v>207</v>
      </c>
      <c r="Q794" s="120"/>
      <c r="R794" s="120" t="s">
        <v>207</v>
      </c>
      <c r="S794" s="120"/>
      <c r="T794" s="120" t="s">
        <v>207</v>
      </c>
      <c r="U794" s="120"/>
      <c r="V794" s="120" t="s">
        <v>207</v>
      </c>
      <c r="W794" s="120"/>
      <c r="X794" s="120" t="s">
        <v>207</v>
      </c>
      <c r="Y794" s="120"/>
      <c r="Z794" s="120" t="s">
        <v>207</v>
      </c>
      <c r="AA794" s="120"/>
      <c r="AB794" s="120" t="s">
        <v>207</v>
      </c>
      <c r="AC794" s="120"/>
      <c r="AD794" s="120" t="s">
        <v>207</v>
      </c>
      <c r="AE794" s="120"/>
      <c r="AF794" s="120" t="s">
        <v>207</v>
      </c>
      <c r="AG794" s="120"/>
      <c r="AH794" s="120" t="s">
        <v>207</v>
      </c>
      <c r="AI794" s="120"/>
      <c r="AJ794" s="120" t="s">
        <v>207</v>
      </c>
      <c r="AK794" s="120"/>
      <c r="AL794" s="120" t="s">
        <v>207</v>
      </c>
      <c r="AM794" s="117">
        <f t="shared" si="20"/>
        <v>0</v>
      </c>
    </row>
    <row r="795" spans="1:39" s="90" customFormat="1" ht="18" customHeight="1" x14ac:dyDescent="0.3">
      <c r="A795" s="114">
        <v>510</v>
      </c>
      <c r="B795" s="11" t="s">
        <v>1202</v>
      </c>
      <c r="C795" s="88" t="s">
        <v>268</v>
      </c>
      <c r="D795" s="88" t="s">
        <v>958</v>
      </c>
      <c r="E795" s="31" t="s">
        <v>48</v>
      </c>
      <c r="F795" s="85" t="s">
        <v>49</v>
      </c>
      <c r="G795" s="375"/>
      <c r="H795" s="365">
        <v>7</v>
      </c>
      <c r="I795" s="379"/>
      <c r="J795" s="365">
        <v>1</v>
      </c>
      <c r="K795" s="120"/>
      <c r="L795" s="120"/>
      <c r="M795" s="120">
        <v>5555</v>
      </c>
      <c r="N795" s="120">
        <v>6343</v>
      </c>
      <c r="O795" s="120">
        <v>615</v>
      </c>
      <c r="P795" s="120" t="s">
        <v>207</v>
      </c>
      <c r="Q795" s="120">
        <v>810</v>
      </c>
      <c r="R795" s="120" t="s">
        <v>207</v>
      </c>
      <c r="S795" s="120">
        <v>473</v>
      </c>
      <c r="T795" s="120" t="s">
        <v>207</v>
      </c>
      <c r="U795" s="120">
        <v>419</v>
      </c>
      <c r="V795" s="120" t="s">
        <v>207</v>
      </c>
      <c r="W795" s="120">
        <v>428</v>
      </c>
      <c r="X795" s="120" t="s">
        <v>207</v>
      </c>
      <c r="Y795" s="120">
        <v>488</v>
      </c>
      <c r="Z795" s="120" t="s">
        <v>207</v>
      </c>
      <c r="AA795" s="120">
        <v>484</v>
      </c>
      <c r="AB795" s="120" t="s">
        <v>207</v>
      </c>
      <c r="AC795" s="120">
        <v>363</v>
      </c>
      <c r="AD795" s="120" t="s">
        <v>207</v>
      </c>
      <c r="AE795" s="120">
        <v>587</v>
      </c>
      <c r="AF795" s="120" t="s">
        <v>207</v>
      </c>
      <c r="AG795" s="120">
        <v>634</v>
      </c>
      <c r="AH795" s="120" t="s">
        <v>207</v>
      </c>
      <c r="AI795" s="120">
        <v>631</v>
      </c>
      <c r="AJ795" s="120" t="s">
        <v>207</v>
      </c>
      <c r="AK795" s="120">
        <v>714</v>
      </c>
      <c r="AL795" s="120" t="s">
        <v>207</v>
      </c>
      <c r="AM795" s="117">
        <f t="shared" si="20"/>
        <v>6646</v>
      </c>
    </row>
    <row r="796" spans="1:39" s="90" customFormat="1" ht="18" customHeight="1" x14ac:dyDescent="0.3">
      <c r="A796" s="114">
        <v>511</v>
      </c>
      <c r="B796" s="11" t="s">
        <v>1203</v>
      </c>
      <c r="C796" s="88" t="s">
        <v>268</v>
      </c>
      <c r="D796" s="88" t="s">
        <v>958</v>
      </c>
      <c r="E796" s="31" t="s">
        <v>48</v>
      </c>
      <c r="F796" s="85" t="s">
        <v>49</v>
      </c>
      <c r="G796" s="375"/>
      <c r="H796" s="365">
        <v>16</v>
      </c>
      <c r="I796" s="379"/>
      <c r="J796" s="365">
        <v>2</v>
      </c>
      <c r="K796" s="120"/>
      <c r="L796" s="120"/>
      <c r="M796" s="120">
        <v>5853</v>
      </c>
      <c r="N796" s="120">
        <v>4662</v>
      </c>
      <c r="O796" s="120">
        <v>934</v>
      </c>
      <c r="P796" s="120" t="s">
        <v>207</v>
      </c>
      <c r="Q796" s="120">
        <v>625</v>
      </c>
      <c r="R796" s="120" t="s">
        <v>207</v>
      </c>
      <c r="S796" s="120">
        <v>566</v>
      </c>
      <c r="T796" s="120" t="s">
        <v>207</v>
      </c>
      <c r="U796" s="120">
        <v>604</v>
      </c>
      <c r="V796" s="120" t="s">
        <v>207</v>
      </c>
      <c r="W796" s="120">
        <v>334</v>
      </c>
      <c r="X796" s="120" t="s">
        <v>207</v>
      </c>
      <c r="Y796" s="120">
        <v>487</v>
      </c>
      <c r="Z796" s="120" t="s">
        <v>207</v>
      </c>
      <c r="AA796" s="120">
        <v>360</v>
      </c>
      <c r="AB796" s="120" t="s">
        <v>207</v>
      </c>
      <c r="AC796" s="120">
        <v>194</v>
      </c>
      <c r="AD796" s="120" t="s">
        <v>207</v>
      </c>
      <c r="AE796" s="120">
        <v>424</v>
      </c>
      <c r="AF796" s="120" t="s">
        <v>207</v>
      </c>
      <c r="AG796" s="120">
        <v>458</v>
      </c>
      <c r="AH796" s="120" t="s">
        <v>207</v>
      </c>
      <c r="AI796" s="120">
        <v>507</v>
      </c>
      <c r="AJ796" s="120" t="s">
        <v>207</v>
      </c>
      <c r="AK796" s="120">
        <v>497</v>
      </c>
      <c r="AL796" s="120" t="s">
        <v>207</v>
      </c>
      <c r="AM796" s="117">
        <f t="shared" si="20"/>
        <v>5990</v>
      </c>
    </row>
    <row r="797" spans="1:39" s="90" customFormat="1" ht="18" customHeight="1" x14ac:dyDescent="0.3">
      <c r="A797" s="297">
        <v>512</v>
      </c>
      <c r="B797" s="11" t="s">
        <v>1204</v>
      </c>
      <c r="C797" s="88" t="s">
        <v>268</v>
      </c>
      <c r="D797" s="88" t="s">
        <v>958</v>
      </c>
      <c r="E797" s="31" t="s">
        <v>48</v>
      </c>
      <c r="F797" s="85" t="s">
        <v>49</v>
      </c>
      <c r="G797" s="375"/>
      <c r="H797" s="365">
        <v>16</v>
      </c>
      <c r="I797" s="379"/>
      <c r="J797" s="365">
        <v>2</v>
      </c>
      <c r="K797" s="120"/>
      <c r="L797" s="120"/>
      <c r="M797" s="120">
        <v>1447</v>
      </c>
      <c r="N797" s="120">
        <v>1329</v>
      </c>
      <c r="O797" s="120">
        <v>120</v>
      </c>
      <c r="P797" s="120" t="s">
        <v>207</v>
      </c>
      <c r="Q797" s="120">
        <v>159</v>
      </c>
      <c r="R797" s="120" t="s">
        <v>207</v>
      </c>
      <c r="S797" s="120">
        <v>87</v>
      </c>
      <c r="T797" s="120" t="s">
        <v>207</v>
      </c>
      <c r="U797" s="120">
        <v>93</v>
      </c>
      <c r="V797" s="120" t="s">
        <v>207</v>
      </c>
      <c r="W797" s="120">
        <v>35</v>
      </c>
      <c r="X797" s="120" t="s">
        <v>207</v>
      </c>
      <c r="Y797" s="120">
        <v>47</v>
      </c>
      <c r="Z797" s="120" t="s">
        <v>207</v>
      </c>
      <c r="AA797" s="120">
        <v>45</v>
      </c>
      <c r="AB797" s="120" t="s">
        <v>207</v>
      </c>
      <c r="AC797" s="120">
        <v>30</v>
      </c>
      <c r="AD797" s="120" t="s">
        <v>207</v>
      </c>
      <c r="AE797" s="120">
        <v>95</v>
      </c>
      <c r="AF797" s="120" t="s">
        <v>207</v>
      </c>
      <c r="AG797" s="120">
        <v>116</v>
      </c>
      <c r="AH797" s="120" t="s">
        <v>207</v>
      </c>
      <c r="AI797" s="120">
        <v>48</v>
      </c>
      <c r="AJ797" s="120" t="s">
        <v>207</v>
      </c>
      <c r="AK797" s="120">
        <v>67</v>
      </c>
      <c r="AL797" s="120" t="s">
        <v>207</v>
      </c>
      <c r="AM797" s="117">
        <f t="shared" si="20"/>
        <v>942</v>
      </c>
    </row>
    <row r="798" spans="1:39" s="90" customFormat="1" ht="18" customHeight="1" x14ac:dyDescent="0.3">
      <c r="A798" s="114">
        <v>513</v>
      </c>
      <c r="B798" s="11" t="s">
        <v>1205</v>
      </c>
      <c r="C798" s="88" t="s">
        <v>268</v>
      </c>
      <c r="D798" s="88" t="s">
        <v>958</v>
      </c>
      <c r="E798" s="31" t="s">
        <v>48</v>
      </c>
      <c r="F798" s="85" t="s">
        <v>49</v>
      </c>
      <c r="G798" s="375"/>
      <c r="H798" s="365">
        <v>17</v>
      </c>
      <c r="I798" s="379"/>
      <c r="J798" s="365">
        <v>2</v>
      </c>
      <c r="K798" s="120"/>
      <c r="L798" s="120"/>
      <c r="M798" s="120"/>
      <c r="N798" s="120"/>
      <c r="O798" s="120"/>
      <c r="P798" s="120" t="s">
        <v>207</v>
      </c>
      <c r="Q798" s="120"/>
      <c r="R798" s="120" t="s">
        <v>207</v>
      </c>
      <c r="S798" s="120"/>
      <c r="T798" s="120" t="s">
        <v>207</v>
      </c>
      <c r="U798" s="120"/>
      <c r="V798" s="120" t="s">
        <v>207</v>
      </c>
      <c r="W798" s="120"/>
      <c r="X798" s="120" t="s">
        <v>207</v>
      </c>
      <c r="Y798" s="120"/>
      <c r="Z798" s="120" t="s">
        <v>207</v>
      </c>
      <c r="AA798" s="120"/>
      <c r="AB798" s="120" t="s">
        <v>207</v>
      </c>
      <c r="AC798" s="120"/>
      <c r="AD798" s="120" t="s">
        <v>207</v>
      </c>
      <c r="AE798" s="120"/>
      <c r="AF798" s="120" t="s">
        <v>207</v>
      </c>
      <c r="AG798" s="120"/>
      <c r="AH798" s="120" t="s">
        <v>207</v>
      </c>
      <c r="AI798" s="120"/>
      <c r="AJ798" s="120" t="s">
        <v>207</v>
      </c>
      <c r="AK798" s="120"/>
      <c r="AL798" s="120" t="s">
        <v>207</v>
      </c>
      <c r="AM798" s="117">
        <f t="shared" si="20"/>
        <v>0</v>
      </c>
    </row>
    <row r="799" spans="1:39" s="90" customFormat="1" ht="18" customHeight="1" x14ac:dyDescent="0.3">
      <c r="A799" s="114">
        <v>514</v>
      </c>
      <c r="B799" s="11" t="s">
        <v>1206</v>
      </c>
      <c r="C799" s="88" t="s">
        <v>268</v>
      </c>
      <c r="D799" s="88" t="s">
        <v>958</v>
      </c>
      <c r="E799" s="31" t="s">
        <v>48</v>
      </c>
      <c r="F799" s="85" t="s">
        <v>49</v>
      </c>
      <c r="G799" s="375"/>
      <c r="H799" s="365">
        <v>18</v>
      </c>
      <c r="I799" s="379"/>
      <c r="J799" s="365">
        <v>2</v>
      </c>
      <c r="K799" s="120"/>
      <c r="L799" s="120"/>
      <c r="M799" s="120"/>
      <c r="N799" s="120"/>
      <c r="O799" s="120"/>
      <c r="P799" s="120" t="s">
        <v>207</v>
      </c>
      <c r="Q799" s="120"/>
      <c r="R799" s="120" t="s">
        <v>207</v>
      </c>
      <c r="S799" s="120"/>
      <c r="T799" s="120" t="s">
        <v>207</v>
      </c>
      <c r="U799" s="120"/>
      <c r="V799" s="120" t="s">
        <v>207</v>
      </c>
      <c r="W799" s="120"/>
      <c r="X799" s="120" t="s">
        <v>207</v>
      </c>
      <c r="Y799" s="120"/>
      <c r="Z799" s="120" t="s">
        <v>207</v>
      </c>
      <c r="AA799" s="120"/>
      <c r="AB799" s="120" t="s">
        <v>207</v>
      </c>
      <c r="AC799" s="120"/>
      <c r="AD799" s="120" t="s">
        <v>207</v>
      </c>
      <c r="AE799" s="120"/>
      <c r="AF799" s="120" t="s">
        <v>207</v>
      </c>
      <c r="AG799" s="120"/>
      <c r="AH799" s="120" t="s">
        <v>207</v>
      </c>
      <c r="AI799" s="120"/>
      <c r="AJ799" s="120" t="s">
        <v>207</v>
      </c>
      <c r="AK799" s="120"/>
      <c r="AL799" s="120" t="s">
        <v>207</v>
      </c>
      <c r="AM799" s="117">
        <f t="shared" si="20"/>
        <v>0</v>
      </c>
    </row>
    <row r="800" spans="1:39" s="90" customFormat="1" ht="18" customHeight="1" x14ac:dyDescent="0.3">
      <c r="A800" s="297">
        <v>515</v>
      </c>
      <c r="B800" s="11" t="s">
        <v>1207</v>
      </c>
      <c r="C800" s="88" t="s">
        <v>268</v>
      </c>
      <c r="D800" s="88" t="s">
        <v>958</v>
      </c>
      <c r="E800" s="31" t="s">
        <v>48</v>
      </c>
      <c r="F800" s="85" t="s">
        <v>49</v>
      </c>
      <c r="G800" s="375"/>
      <c r="H800" s="365">
        <v>16</v>
      </c>
      <c r="I800" s="379"/>
      <c r="J800" s="365">
        <v>2</v>
      </c>
      <c r="K800" s="120"/>
      <c r="L800" s="120"/>
      <c r="M800" s="120"/>
      <c r="N800" s="120"/>
      <c r="O800" s="120"/>
      <c r="P800" s="120" t="s">
        <v>207</v>
      </c>
      <c r="Q800" s="120"/>
      <c r="R800" s="120" t="s">
        <v>207</v>
      </c>
      <c r="S800" s="120"/>
      <c r="T800" s="120" t="s">
        <v>207</v>
      </c>
      <c r="U800" s="120"/>
      <c r="V800" s="120" t="s">
        <v>207</v>
      </c>
      <c r="W800" s="120"/>
      <c r="X800" s="120" t="s">
        <v>207</v>
      </c>
      <c r="Y800" s="120"/>
      <c r="Z800" s="120" t="s">
        <v>207</v>
      </c>
      <c r="AA800" s="120"/>
      <c r="AB800" s="120" t="s">
        <v>207</v>
      </c>
      <c r="AC800" s="120"/>
      <c r="AD800" s="120" t="s">
        <v>207</v>
      </c>
      <c r="AE800" s="120"/>
      <c r="AF800" s="120" t="s">
        <v>207</v>
      </c>
      <c r="AG800" s="120"/>
      <c r="AH800" s="120" t="s">
        <v>207</v>
      </c>
      <c r="AI800" s="120"/>
      <c r="AJ800" s="120" t="s">
        <v>207</v>
      </c>
      <c r="AK800" s="120"/>
      <c r="AL800" s="120" t="s">
        <v>207</v>
      </c>
      <c r="AM800" s="117">
        <f t="shared" si="20"/>
        <v>0</v>
      </c>
    </row>
    <row r="801" spans="1:39" s="90" customFormat="1" ht="18" customHeight="1" x14ac:dyDescent="0.3">
      <c r="A801" s="114">
        <v>516</v>
      </c>
      <c r="B801" s="11" t="s">
        <v>1208</v>
      </c>
      <c r="C801" s="88" t="s">
        <v>268</v>
      </c>
      <c r="D801" s="88" t="s">
        <v>958</v>
      </c>
      <c r="E801" s="31" t="s">
        <v>48</v>
      </c>
      <c r="F801" s="85" t="s">
        <v>49</v>
      </c>
      <c r="G801" s="375"/>
      <c r="H801" s="365">
        <v>16</v>
      </c>
      <c r="I801" s="379"/>
      <c r="J801" s="365">
        <v>2</v>
      </c>
      <c r="K801" s="120"/>
      <c r="L801" s="120"/>
      <c r="M801" s="120">
        <v>16664</v>
      </c>
      <c r="N801" s="120">
        <v>2597</v>
      </c>
      <c r="O801" s="120">
        <v>0</v>
      </c>
      <c r="P801" s="120" t="s">
        <v>207</v>
      </c>
      <c r="Q801" s="120">
        <v>51</v>
      </c>
      <c r="R801" s="120" t="s">
        <v>207</v>
      </c>
      <c r="S801" s="120">
        <v>100</v>
      </c>
      <c r="T801" s="120" t="s">
        <v>207</v>
      </c>
      <c r="U801" s="120">
        <v>156</v>
      </c>
      <c r="V801" s="120" t="s">
        <v>207</v>
      </c>
      <c r="W801" s="120">
        <v>95</v>
      </c>
      <c r="X801" s="120" t="s">
        <v>207</v>
      </c>
      <c r="Y801" s="120">
        <v>59</v>
      </c>
      <c r="Z801" s="120" t="s">
        <v>207</v>
      </c>
      <c r="AA801" s="120">
        <v>0</v>
      </c>
      <c r="AB801" s="120" t="s">
        <v>207</v>
      </c>
      <c r="AC801" s="120">
        <v>47</v>
      </c>
      <c r="AD801" s="120" t="s">
        <v>207</v>
      </c>
      <c r="AE801" s="120">
        <v>113</v>
      </c>
      <c r="AF801" s="120" t="s">
        <v>207</v>
      </c>
      <c r="AG801" s="120">
        <v>51</v>
      </c>
      <c r="AH801" s="120" t="s">
        <v>207</v>
      </c>
      <c r="AI801" s="120">
        <v>120</v>
      </c>
      <c r="AJ801" s="120" t="s">
        <v>207</v>
      </c>
      <c r="AK801" s="120">
        <v>0</v>
      </c>
      <c r="AL801" s="120" t="s">
        <v>207</v>
      </c>
      <c r="AM801" s="117">
        <f t="shared" si="20"/>
        <v>792</v>
      </c>
    </row>
    <row r="802" spans="1:39" s="90" customFormat="1" ht="18" customHeight="1" x14ac:dyDescent="0.3">
      <c r="A802" s="114">
        <v>517</v>
      </c>
      <c r="B802" s="11" t="s">
        <v>1209</v>
      </c>
      <c r="C802" s="88" t="s">
        <v>268</v>
      </c>
      <c r="D802" s="88" t="s">
        <v>958</v>
      </c>
      <c r="E802" s="31" t="s">
        <v>48</v>
      </c>
      <c r="F802" s="85" t="s">
        <v>49</v>
      </c>
      <c r="G802" s="375"/>
      <c r="H802" s="365">
        <v>16</v>
      </c>
      <c r="I802" s="379"/>
      <c r="J802" s="365">
        <v>2</v>
      </c>
      <c r="K802" s="120"/>
      <c r="L802" s="120"/>
      <c r="M802" s="120">
        <v>2016</v>
      </c>
      <c r="N802" s="120">
        <v>1255</v>
      </c>
      <c r="O802" s="120">
        <v>280</v>
      </c>
      <c r="P802" s="120" t="s">
        <v>207</v>
      </c>
      <c r="Q802" s="120">
        <v>249</v>
      </c>
      <c r="R802" s="120" t="s">
        <v>207</v>
      </c>
      <c r="S802" s="120">
        <v>170</v>
      </c>
      <c r="T802" s="120" t="s">
        <v>207</v>
      </c>
      <c r="U802" s="120">
        <v>171</v>
      </c>
      <c r="V802" s="120" t="s">
        <v>207</v>
      </c>
      <c r="W802" s="120">
        <v>107</v>
      </c>
      <c r="X802" s="120" t="s">
        <v>207</v>
      </c>
      <c r="Y802" s="120">
        <v>164</v>
      </c>
      <c r="Z802" s="120" t="s">
        <v>207</v>
      </c>
      <c r="AA802" s="120">
        <v>135</v>
      </c>
      <c r="AB802" s="120" t="s">
        <v>207</v>
      </c>
      <c r="AC802" s="120">
        <v>98</v>
      </c>
      <c r="AD802" s="120" t="s">
        <v>207</v>
      </c>
      <c r="AE802" s="120">
        <v>193</v>
      </c>
      <c r="AF802" s="120" t="s">
        <v>207</v>
      </c>
      <c r="AG802" s="120">
        <v>181</v>
      </c>
      <c r="AH802" s="120" t="s">
        <v>207</v>
      </c>
      <c r="AI802" s="120">
        <v>154</v>
      </c>
      <c r="AJ802" s="120" t="s">
        <v>207</v>
      </c>
      <c r="AK802" s="120">
        <v>221</v>
      </c>
      <c r="AL802" s="120" t="s">
        <v>207</v>
      </c>
      <c r="AM802" s="117">
        <f t="shared" si="20"/>
        <v>2123</v>
      </c>
    </row>
    <row r="803" spans="1:39" s="90" customFormat="1" ht="18" customHeight="1" x14ac:dyDescent="0.3">
      <c r="A803" s="297">
        <v>518</v>
      </c>
      <c r="B803" s="11" t="s">
        <v>1210</v>
      </c>
      <c r="C803" s="88" t="s">
        <v>268</v>
      </c>
      <c r="D803" s="88" t="s">
        <v>958</v>
      </c>
      <c r="E803" s="31" t="s">
        <v>48</v>
      </c>
      <c r="F803" s="85" t="s">
        <v>49</v>
      </c>
      <c r="G803" s="375"/>
      <c r="H803" s="365">
        <v>16</v>
      </c>
      <c r="I803" s="379"/>
      <c r="J803" s="365">
        <v>2</v>
      </c>
      <c r="K803" s="120"/>
      <c r="L803" s="120"/>
      <c r="M803" s="120">
        <v>1560</v>
      </c>
      <c r="N803" s="120"/>
      <c r="O803" s="120">
        <v>143</v>
      </c>
      <c r="P803" s="120" t="s">
        <v>207</v>
      </c>
      <c r="Q803" s="120">
        <v>186</v>
      </c>
      <c r="R803" s="120" t="s">
        <v>207</v>
      </c>
      <c r="S803" s="120">
        <v>97</v>
      </c>
      <c r="T803" s="120" t="s">
        <v>207</v>
      </c>
      <c r="U803" s="120">
        <v>183</v>
      </c>
      <c r="V803" s="120" t="s">
        <v>207</v>
      </c>
      <c r="W803" s="120">
        <v>148</v>
      </c>
      <c r="X803" s="120" t="s">
        <v>207</v>
      </c>
      <c r="Y803" s="120">
        <v>143</v>
      </c>
      <c r="Z803" s="120" t="s">
        <v>207</v>
      </c>
      <c r="AA803" s="120">
        <v>135</v>
      </c>
      <c r="AB803" s="120" t="s">
        <v>207</v>
      </c>
      <c r="AC803" s="120">
        <v>93</v>
      </c>
      <c r="AD803" s="120" t="s">
        <v>207</v>
      </c>
      <c r="AE803" s="120">
        <v>133</v>
      </c>
      <c r="AF803" s="120" t="s">
        <v>207</v>
      </c>
      <c r="AG803" s="120">
        <v>119</v>
      </c>
      <c r="AH803" s="120" t="s">
        <v>207</v>
      </c>
      <c r="AI803" s="120">
        <v>103</v>
      </c>
      <c r="AJ803" s="120" t="s">
        <v>207</v>
      </c>
      <c r="AK803" s="120">
        <v>202</v>
      </c>
      <c r="AL803" s="120" t="s">
        <v>207</v>
      </c>
      <c r="AM803" s="117">
        <f t="shared" si="20"/>
        <v>1685</v>
      </c>
    </row>
    <row r="804" spans="1:39" s="90" customFormat="1" ht="18" customHeight="1" x14ac:dyDescent="0.3">
      <c r="A804" s="114">
        <v>519</v>
      </c>
      <c r="B804" s="11" t="s">
        <v>1211</v>
      </c>
      <c r="C804" s="88" t="s">
        <v>268</v>
      </c>
      <c r="D804" s="88" t="s">
        <v>958</v>
      </c>
      <c r="E804" s="31" t="s">
        <v>48</v>
      </c>
      <c r="F804" s="85" t="s">
        <v>49</v>
      </c>
      <c r="G804" s="375"/>
      <c r="H804" s="365">
        <v>16</v>
      </c>
      <c r="I804" s="379"/>
      <c r="J804" s="365">
        <v>2</v>
      </c>
      <c r="K804" s="120"/>
      <c r="L804" s="120"/>
      <c r="M804" s="120">
        <v>5077</v>
      </c>
      <c r="N804" s="120">
        <v>2314</v>
      </c>
      <c r="O804" s="120">
        <v>158</v>
      </c>
      <c r="P804" s="120" t="s">
        <v>207</v>
      </c>
      <c r="Q804" s="120">
        <v>140</v>
      </c>
      <c r="R804" s="120" t="s">
        <v>207</v>
      </c>
      <c r="S804" s="120">
        <v>172</v>
      </c>
      <c r="T804" s="120" t="s">
        <v>207</v>
      </c>
      <c r="U804" s="120">
        <v>152</v>
      </c>
      <c r="V804" s="120" t="s">
        <v>207</v>
      </c>
      <c r="W804" s="120">
        <v>120</v>
      </c>
      <c r="X804" s="120" t="s">
        <v>207</v>
      </c>
      <c r="Y804" s="120">
        <v>166</v>
      </c>
      <c r="Z804" s="120" t="s">
        <v>207</v>
      </c>
      <c r="AA804" s="120">
        <v>122</v>
      </c>
      <c r="AB804" s="120" t="s">
        <v>207</v>
      </c>
      <c r="AC804" s="120">
        <v>111</v>
      </c>
      <c r="AD804" s="120" t="s">
        <v>207</v>
      </c>
      <c r="AE804" s="120">
        <v>217</v>
      </c>
      <c r="AF804" s="120" t="s">
        <v>207</v>
      </c>
      <c r="AG804" s="120">
        <v>150</v>
      </c>
      <c r="AH804" s="120" t="s">
        <v>207</v>
      </c>
      <c r="AI804" s="120">
        <v>206</v>
      </c>
      <c r="AJ804" s="120" t="s">
        <v>207</v>
      </c>
      <c r="AK804" s="120">
        <v>152</v>
      </c>
      <c r="AL804" s="120" t="s">
        <v>207</v>
      </c>
      <c r="AM804" s="117">
        <f t="shared" si="20"/>
        <v>1866</v>
      </c>
    </row>
    <row r="805" spans="1:39" s="90" customFormat="1" ht="18" customHeight="1" x14ac:dyDescent="0.3">
      <c r="A805" s="114">
        <v>520</v>
      </c>
      <c r="B805" s="11" t="s">
        <v>1212</v>
      </c>
      <c r="C805" s="88" t="s">
        <v>268</v>
      </c>
      <c r="D805" s="88" t="s">
        <v>958</v>
      </c>
      <c r="E805" s="31" t="s">
        <v>48</v>
      </c>
      <c r="F805" s="85" t="s">
        <v>49</v>
      </c>
      <c r="G805" s="375"/>
      <c r="H805" s="365">
        <v>18</v>
      </c>
      <c r="I805" s="379"/>
      <c r="J805" s="365">
        <v>2</v>
      </c>
      <c r="K805" s="120"/>
      <c r="L805" s="120"/>
      <c r="M805" s="120">
        <v>2102</v>
      </c>
      <c r="N805" s="120">
        <v>2914</v>
      </c>
      <c r="O805" s="120">
        <v>177</v>
      </c>
      <c r="P805" s="120" t="s">
        <v>207</v>
      </c>
      <c r="Q805" s="120">
        <v>219</v>
      </c>
      <c r="R805" s="120" t="s">
        <v>207</v>
      </c>
      <c r="S805" s="120">
        <v>281</v>
      </c>
      <c r="T805" s="120" t="s">
        <v>207</v>
      </c>
      <c r="U805" s="120">
        <v>195</v>
      </c>
      <c r="V805" s="120" t="s">
        <v>207</v>
      </c>
      <c r="W805" s="120">
        <v>181</v>
      </c>
      <c r="X805" s="120" t="s">
        <v>207</v>
      </c>
      <c r="Y805" s="120">
        <v>200</v>
      </c>
      <c r="Z805" s="120" t="s">
        <v>207</v>
      </c>
      <c r="AA805" s="120">
        <v>192</v>
      </c>
      <c r="AB805" s="120" t="s">
        <v>207</v>
      </c>
      <c r="AC805" s="120">
        <v>123</v>
      </c>
      <c r="AD805" s="120" t="s">
        <v>207</v>
      </c>
      <c r="AE805" s="120">
        <v>159</v>
      </c>
      <c r="AF805" s="120" t="s">
        <v>207</v>
      </c>
      <c r="AG805" s="120">
        <v>207</v>
      </c>
      <c r="AH805" s="120" t="s">
        <v>207</v>
      </c>
      <c r="AI805" s="120">
        <v>149</v>
      </c>
      <c r="AJ805" s="120" t="s">
        <v>207</v>
      </c>
      <c r="AK805" s="120">
        <v>181</v>
      </c>
      <c r="AL805" s="120" t="s">
        <v>207</v>
      </c>
      <c r="AM805" s="117">
        <f t="shared" si="20"/>
        <v>2264</v>
      </c>
    </row>
    <row r="806" spans="1:39" s="90" customFormat="1" ht="18" customHeight="1" x14ac:dyDescent="0.3">
      <c r="A806" s="297">
        <v>521</v>
      </c>
      <c r="B806" s="11" t="s">
        <v>1213</v>
      </c>
      <c r="C806" s="88" t="s">
        <v>268</v>
      </c>
      <c r="D806" s="88" t="s">
        <v>958</v>
      </c>
      <c r="E806" s="31" t="s">
        <v>48</v>
      </c>
      <c r="F806" s="85" t="s">
        <v>49</v>
      </c>
      <c r="G806" s="375"/>
      <c r="H806" s="365">
        <v>15</v>
      </c>
      <c r="I806" s="379"/>
      <c r="J806" s="365">
        <v>2</v>
      </c>
      <c r="K806" s="120"/>
      <c r="L806" s="120"/>
      <c r="M806" s="120">
        <v>3700</v>
      </c>
      <c r="N806" s="120"/>
      <c r="O806" s="120"/>
      <c r="P806" s="120" t="s">
        <v>207</v>
      </c>
      <c r="Q806" s="120"/>
      <c r="R806" s="120" t="s">
        <v>207</v>
      </c>
      <c r="S806" s="120"/>
      <c r="T806" s="120" t="s">
        <v>207</v>
      </c>
      <c r="U806" s="120"/>
      <c r="V806" s="120" t="s">
        <v>207</v>
      </c>
      <c r="W806" s="120"/>
      <c r="X806" s="120" t="s">
        <v>207</v>
      </c>
      <c r="Y806" s="120"/>
      <c r="Z806" s="120" t="s">
        <v>207</v>
      </c>
      <c r="AA806" s="120"/>
      <c r="AB806" s="120" t="s">
        <v>207</v>
      </c>
      <c r="AC806" s="120"/>
      <c r="AD806" s="120" t="s">
        <v>207</v>
      </c>
      <c r="AE806" s="120"/>
      <c r="AF806" s="120" t="s">
        <v>207</v>
      </c>
      <c r="AG806" s="120"/>
      <c r="AH806" s="120" t="s">
        <v>207</v>
      </c>
      <c r="AI806" s="120"/>
      <c r="AJ806" s="120" t="s">
        <v>207</v>
      </c>
      <c r="AK806" s="120"/>
      <c r="AL806" s="120" t="s">
        <v>207</v>
      </c>
      <c r="AM806" s="117">
        <f t="shared" si="20"/>
        <v>0</v>
      </c>
    </row>
    <row r="807" spans="1:39" s="90" customFormat="1" ht="18" customHeight="1" x14ac:dyDescent="0.3">
      <c r="A807" s="114">
        <v>522</v>
      </c>
      <c r="B807" s="11" t="s">
        <v>1214</v>
      </c>
      <c r="C807" s="88" t="s">
        <v>268</v>
      </c>
      <c r="D807" s="88" t="s">
        <v>958</v>
      </c>
      <c r="E807" s="31" t="s">
        <v>48</v>
      </c>
      <c r="F807" s="85" t="s">
        <v>49</v>
      </c>
      <c r="G807" s="375"/>
      <c r="H807" s="365">
        <v>15</v>
      </c>
      <c r="I807" s="379"/>
      <c r="J807" s="365">
        <v>2</v>
      </c>
      <c r="K807" s="120"/>
      <c r="L807" s="120"/>
      <c r="M807" s="120"/>
      <c r="N807" s="120"/>
      <c r="O807" s="120"/>
      <c r="P807" s="120" t="s">
        <v>207</v>
      </c>
      <c r="Q807" s="120"/>
      <c r="R807" s="120" t="s">
        <v>207</v>
      </c>
      <c r="S807" s="120"/>
      <c r="T807" s="120" t="s">
        <v>207</v>
      </c>
      <c r="U807" s="120"/>
      <c r="V807" s="120" t="s">
        <v>207</v>
      </c>
      <c r="W807" s="120"/>
      <c r="X807" s="120" t="s">
        <v>207</v>
      </c>
      <c r="Y807" s="120"/>
      <c r="Z807" s="120" t="s">
        <v>207</v>
      </c>
      <c r="AA807" s="120"/>
      <c r="AB807" s="120" t="s">
        <v>207</v>
      </c>
      <c r="AC807" s="120"/>
      <c r="AD807" s="120" t="s">
        <v>207</v>
      </c>
      <c r="AE807" s="120"/>
      <c r="AF807" s="120" t="s">
        <v>207</v>
      </c>
      <c r="AG807" s="120"/>
      <c r="AH807" s="120" t="s">
        <v>207</v>
      </c>
      <c r="AI807" s="120"/>
      <c r="AJ807" s="120" t="s">
        <v>207</v>
      </c>
      <c r="AK807" s="120"/>
      <c r="AL807" s="120" t="s">
        <v>207</v>
      </c>
      <c r="AM807" s="117">
        <f t="shared" si="20"/>
        <v>0</v>
      </c>
    </row>
    <row r="808" spans="1:39" s="90" customFormat="1" ht="18" customHeight="1" x14ac:dyDescent="0.3">
      <c r="A808" s="114">
        <v>523</v>
      </c>
      <c r="B808" s="11" t="s">
        <v>1215</v>
      </c>
      <c r="C808" s="88" t="s">
        <v>268</v>
      </c>
      <c r="D808" s="88" t="s">
        <v>958</v>
      </c>
      <c r="E808" s="31" t="s">
        <v>48</v>
      </c>
      <c r="F808" s="85" t="s">
        <v>49</v>
      </c>
      <c r="G808" s="375"/>
      <c r="H808" s="365">
        <v>18</v>
      </c>
      <c r="I808" s="379"/>
      <c r="J808" s="365">
        <v>2</v>
      </c>
      <c r="K808" s="120"/>
      <c r="L808" s="120"/>
      <c r="M808" s="120">
        <v>1267</v>
      </c>
      <c r="N808" s="120">
        <v>1316</v>
      </c>
      <c r="O808" s="120">
        <v>160</v>
      </c>
      <c r="P808" s="120" t="s">
        <v>207</v>
      </c>
      <c r="Q808" s="120">
        <v>135</v>
      </c>
      <c r="R808" s="120" t="s">
        <v>207</v>
      </c>
      <c r="S808" s="120">
        <v>73</v>
      </c>
      <c r="T808" s="120" t="s">
        <v>207</v>
      </c>
      <c r="U808" s="120">
        <v>71</v>
      </c>
      <c r="V808" s="120" t="s">
        <v>207</v>
      </c>
      <c r="W808" s="120">
        <v>49</v>
      </c>
      <c r="X808" s="120" t="s">
        <v>207</v>
      </c>
      <c r="Y808" s="120">
        <v>79</v>
      </c>
      <c r="Z808" s="120" t="s">
        <v>207</v>
      </c>
      <c r="AA808" s="120">
        <v>125</v>
      </c>
      <c r="AB808" s="120" t="s">
        <v>207</v>
      </c>
      <c r="AC808" s="120">
        <v>124</v>
      </c>
      <c r="AD808" s="120" t="s">
        <v>207</v>
      </c>
      <c r="AE808" s="120">
        <v>100</v>
      </c>
      <c r="AF808" s="120" t="s">
        <v>207</v>
      </c>
      <c r="AG808" s="120">
        <v>125</v>
      </c>
      <c r="AH808" s="120" t="s">
        <v>207</v>
      </c>
      <c r="AI808" s="120">
        <v>139</v>
      </c>
      <c r="AJ808" s="120" t="s">
        <v>207</v>
      </c>
      <c r="AK808" s="120">
        <v>166</v>
      </c>
      <c r="AL808" s="120" t="s">
        <v>207</v>
      </c>
      <c r="AM808" s="117">
        <f t="shared" si="20"/>
        <v>1346</v>
      </c>
    </row>
    <row r="809" spans="1:39" s="90" customFormat="1" ht="18" customHeight="1" x14ac:dyDescent="0.3">
      <c r="A809" s="297">
        <v>524</v>
      </c>
      <c r="B809" s="11" t="s">
        <v>1216</v>
      </c>
      <c r="C809" s="88" t="s">
        <v>268</v>
      </c>
      <c r="D809" s="88" t="s">
        <v>958</v>
      </c>
      <c r="E809" s="31" t="s">
        <v>48</v>
      </c>
      <c r="F809" s="85" t="s">
        <v>49</v>
      </c>
      <c r="G809" s="375"/>
      <c r="H809" s="365">
        <v>14</v>
      </c>
      <c r="I809" s="379"/>
      <c r="J809" s="365">
        <v>2</v>
      </c>
      <c r="K809" s="120"/>
      <c r="L809" s="120"/>
      <c r="M809" s="120">
        <v>50065</v>
      </c>
      <c r="N809" s="120">
        <v>26123</v>
      </c>
      <c r="O809" s="120">
        <v>1895</v>
      </c>
      <c r="P809" s="120" t="s">
        <v>207</v>
      </c>
      <c r="Q809" s="120">
        <v>2165</v>
      </c>
      <c r="R809" s="120" t="s">
        <v>207</v>
      </c>
      <c r="S809" s="120">
        <v>1983</v>
      </c>
      <c r="T809" s="120" t="s">
        <v>207</v>
      </c>
      <c r="U809" s="120">
        <v>1814</v>
      </c>
      <c r="V809" s="120" t="s">
        <v>207</v>
      </c>
      <c r="W809" s="120">
        <v>1516</v>
      </c>
      <c r="X809" s="120" t="s">
        <v>207</v>
      </c>
      <c r="Y809" s="120">
        <v>1465</v>
      </c>
      <c r="Z809" s="120" t="s">
        <v>207</v>
      </c>
      <c r="AA809" s="120">
        <v>1573</v>
      </c>
      <c r="AB809" s="120" t="s">
        <v>207</v>
      </c>
      <c r="AC809" s="120">
        <v>1709</v>
      </c>
      <c r="AD809" s="120" t="s">
        <v>207</v>
      </c>
      <c r="AE809" s="120">
        <v>1828</v>
      </c>
      <c r="AF809" s="120" t="s">
        <v>207</v>
      </c>
      <c r="AG809" s="120">
        <v>2106</v>
      </c>
      <c r="AH809" s="120" t="s">
        <v>207</v>
      </c>
      <c r="AI809" s="120">
        <v>1973</v>
      </c>
      <c r="AJ809" s="120" t="s">
        <v>207</v>
      </c>
      <c r="AK809" s="120">
        <v>1969</v>
      </c>
      <c r="AL809" s="120" t="s">
        <v>207</v>
      </c>
      <c r="AM809" s="117">
        <f t="shared" si="20"/>
        <v>21996</v>
      </c>
    </row>
    <row r="810" spans="1:39" s="90" customFormat="1" ht="18" customHeight="1" x14ac:dyDescent="0.3">
      <c r="A810" s="114">
        <v>525</v>
      </c>
      <c r="B810" s="11" t="s">
        <v>1217</v>
      </c>
      <c r="C810" s="88" t="s">
        <v>268</v>
      </c>
      <c r="D810" s="88" t="s">
        <v>958</v>
      </c>
      <c r="E810" s="31" t="s">
        <v>48</v>
      </c>
      <c r="F810" s="85" t="s">
        <v>49</v>
      </c>
      <c r="G810" s="375"/>
      <c r="H810" s="365">
        <v>15</v>
      </c>
      <c r="I810" s="379"/>
      <c r="J810" s="365">
        <v>2</v>
      </c>
      <c r="K810" s="120"/>
      <c r="L810" s="120"/>
      <c r="M810" s="120">
        <v>9381</v>
      </c>
      <c r="N810" s="120">
        <v>9228</v>
      </c>
      <c r="O810" s="120">
        <v>656</v>
      </c>
      <c r="P810" s="120" t="s">
        <v>207</v>
      </c>
      <c r="Q810" s="120">
        <v>759</v>
      </c>
      <c r="R810" s="120" t="s">
        <v>207</v>
      </c>
      <c r="S810" s="120">
        <v>655</v>
      </c>
      <c r="T810" s="120" t="s">
        <v>207</v>
      </c>
      <c r="U810" s="120">
        <v>566</v>
      </c>
      <c r="V810" s="120" t="s">
        <v>207</v>
      </c>
      <c r="W810" s="120">
        <v>456</v>
      </c>
      <c r="X810" s="120" t="s">
        <v>207</v>
      </c>
      <c r="Y810" s="120">
        <v>482</v>
      </c>
      <c r="Z810" s="120" t="s">
        <v>207</v>
      </c>
      <c r="AA810" s="120">
        <v>402</v>
      </c>
      <c r="AB810" s="120" t="s">
        <v>207</v>
      </c>
      <c r="AC810" s="120">
        <v>427</v>
      </c>
      <c r="AD810" s="120" t="s">
        <v>207</v>
      </c>
      <c r="AE810" s="120">
        <v>666</v>
      </c>
      <c r="AF810" s="120" t="s">
        <v>207</v>
      </c>
      <c r="AG810" s="120">
        <v>744</v>
      </c>
      <c r="AH810" s="120" t="s">
        <v>207</v>
      </c>
      <c r="AI810" s="120">
        <v>757</v>
      </c>
      <c r="AJ810" s="120" t="s">
        <v>207</v>
      </c>
      <c r="AK810" s="120">
        <v>1039</v>
      </c>
      <c r="AL810" s="120" t="s">
        <v>207</v>
      </c>
      <c r="AM810" s="117">
        <f t="shared" si="20"/>
        <v>7609</v>
      </c>
    </row>
    <row r="811" spans="1:39" s="90" customFormat="1" ht="18" customHeight="1" x14ac:dyDescent="0.3">
      <c r="A811" s="114">
        <v>526</v>
      </c>
      <c r="B811" s="11" t="s">
        <v>1218</v>
      </c>
      <c r="C811" s="88" t="s">
        <v>268</v>
      </c>
      <c r="D811" s="88" t="s">
        <v>958</v>
      </c>
      <c r="E811" s="31" t="s">
        <v>48</v>
      </c>
      <c r="F811" s="85" t="s">
        <v>49</v>
      </c>
      <c r="G811" s="375"/>
      <c r="H811" s="365">
        <v>16</v>
      </c>
      <c r="I811" s="379"/>
      <c r="J811" s="365">
        <v>2</v>
      </c>
      <c r="K811" s="120"/>
      <c r="L811" s="120"/>
      <c r="M811" s="120">
        <v>8338</v>
      </c>
      <c r="N811" s="120">
        <v>2864</v>
      </c>
      <c r="O811" s="120">
        <v>1177</v>
      </c>
      <c r="P811" s="120" t="s">
        <v>207</v>
      </c>
      <c r="Q811" s="120">
        <v>931</v>
      </c>
      <c r="R811" s="120" t="s">
        <v>207</v>
      </c>
      <c r="S811" s="120">
        <v>918</v>
      </c>
      <c r="T811" s="120" t="s">
        <v>207</v>
      </c>
      <c r="U811" s="120">
        <v>719</v>
      </c>
      <c r="V811" s="120" t="s">
        <v>207</v>
      </c>
      <c r="W811" s="120">
        <v>498</v>
      </c>
      <c r="X811" s="120" t="s">
        <v>207</v>
      </c>
      <c r="Y811" s="120">
        <v>542</v>
      </c>
      <c r="Z811" s="120" t="s">
        <v>207</v>
      </c>
      <c r="AA811" s="120">
        <v>592</v>
      </c>
      <c r="AB811" s="120" t="s">
        <v>207</v>
      </c>
      <c r="AC811" s="120">
        <v>514</v>
      </c>
      <c r="AD811" s="120" t="s">
        <v>207</v>
      </c>
      <c r="AE811" s="120">
        <v>556</v>
      </c>
      <c r="AF811" s="120" t="s">
        <v>207</v>
      </c>
      <c r="AG811" s="120">
        <v>530</v>
      </c>
      <c r="AH811" s="120" t="s">
        <v>207</v>
      </c>
      <c r="AI811" s="120">
        <v>474</v>
      </c>
      <c r="AJ811" s="120" t="s">
        <v>207</v>
      </c>
      <c r="AK811" s="120">
        <v>598</v>
      </c>
      <c r="AL811" s="120" t="s">
        <v>207</v>
      </c>
      <c r="AM811" s="117">
        <f t="shared" si="20"/>
        <v>8049</v>
      </c>
    </row>
    <row r="812" spans="1:39" s="90" customFormat="1" ht="18" customHeight="1" x14ac:dyDescent="0.3">
      <c r="A812" s="297">
        <v>527</v>
      </c>
      <c r="B812" s="11" t="s">
        <v>1219</v>
      </c>
      <c r="C812" s="88" t="s">
        <v>268</v>
      </c>
      <c r="D812" s="88" t="s">
        <v>958</v>
      </c>
      <c r="E812" s="31" t="s">
        <v>48</v>
      </c>
      <c r="F812" s="85" t="s">
        <v>49</v>
      </c>
      <c r="G812" s="375"/>
      <c r="H812" s="365">
        <v>16</v>
      </c>
      <c r="I812" s="379"/>
      <c r="J812" s="365">
        <v>2</v>
      </c>
      <c r="K812" s="120"/>
      <c r="L812" s="120"/>
      <c r="M812" s="120">
        <v>3122</v>
      </c>
      <c r="N812" s="120">
        <v>2830</v>
      </c>
      <c r="O812" s="120">
        <v>318</v>
      </c>
      <c r="P812" s="120" t="s">
        <v>207</v>
      </c>
      <c r="Q812" s="120">
        <v>250</v>
      </c>
      <c r="R812" s="120" t="s">
        <v>207</v>
      </c>
      <c r="S812" s="120">
        <v>363</v>
      </c>
      <c r="T812" s="120" t="s">
        <v>207</v>
      </c>
      <c r="U812" s="120">
        <v>231</v>
      </c>
      <c r="V812" s="120" t="s">
        <v>207</v>
      </c>
      <c r="W812" s="120">
        <v>109</v>
      </c>
      <c r="X812" s="120" t="s">
        <v>207</v>
      </c>
      <c r="Y812" s="120">
        <v>97</v>
      </c>
      <c r="Z812" s="120" t="s">
        <v>207</v>
      </c>
      <c r="AA812" s="120">
        <v>149</v>
      </c>
      <c r="AB812" s="120" t="s">
        <v>207</v>
      </c>
      <c r="AC812" s="120">
        <v>172</v>
      </c>
      <c r="AD812" s="120" t="s">
        <v>207</v>
      </c>
      <c r="AE812" s="120">
        <v>396</v>
      </c>
      <c r="AF812" s="120" t="s">
        <v>207</v>
      </c>
      <c r="AG812" s="120">
        <v>371</v>
      </c>
      <c r="AH812" s="120" t="s">
        <v>207</v>
      </c>
      <c r="AI812" s="120">
        <v>313</v>
      </c>
      <c r="AJ812" s="120" t="s">
        <v>207</v>
      </c>
      <c r="AK812" s="120">
        <v>334</v>
      </c>
      <c r="AL812" s="120" t="s">
        <v>207</v>
      </c>
      <c r="AM812" s="117">
        <f t="shared" si="20"/>
        <v>3103</v>
      </c>
    </row>
    <row r="813" spans="1:39" s="90" customFormat="1" ht="18" customHeight="1" x14ac:dyDescent="0.3">
      <c r="A813" s="114">
        <v>528</v>
      </c>
      <c r="B813" s="11" t="s">
        <v>1220</v>
      </c>
      <c r="C813" s="88" t="s">
        <v>268</v>
      </c>
      <c r="D813" s="88" t="s">
        <v>958</v>
      </c>
      <c r="E813" s="31" t="s">
        <v>48</v>
      </c>
      <c r="F813" s="85" t="s">
        <v>49</v>
      </c>
      <c r="G813" s="375"/>
      <c r="H813" s="365">
        <v>16</v>
      </c>
      <c r="I813" s="379"/>
      <c r="J813" s="365">
        <v>2</v>
      </c>
      <c r="K813" s="120"/>
      <c r="L813" s="120"/>
      <c r="M813" s="120">
        <v>7019</v>
      </c>
      <c r="N813" s="120">
        <v>2361</v>
      </c>
      <c r="O813" s="120">
        <v>304</v>
      </c>
      <c r="P813" s="120" t="s">
        <v>207</v>
      </c>
      <c r="Q813" s="120">
        <v>269</v>
      </c>
      <c r="R813" s="120" t="s">
        <v>207</v>
      </c>
      <c r="S813" s="120">
        <v>241</v>
      </c>
      <c r="T813" s="120" t="s">
        <v>207</v>
      </c>
      <c r="U813" s="120">
        <v>180</v>
      </c>
      <c r="V813" s="120" t="s">
        <v>207</v>
      </c>
      <c r="W813" s="120">
        <v>390</v>
      </c>
      <c r="X813" s="120" t="s">
        <v>207</v>
      </c>
      <c r="Y813" s="120">
        <v>357</v>
      </c>
      <c r="Z813" s="120" t="s">
        <v>207</v>
      </c>
      <c r="AA813" s="120">
        <v>378</v>
      </c>
      <c r="AB813" s="120" t="s">
        <v>207</v>
      </c>
      <c r="AC813" s="120">
        <v>68</v>
      </c>
      <c r="AD813" s="120" t="s">
        <v>207</v>
      </c>
      <c r="AE813" s="120">
        <v>264</v>
      </c>
      <c r="AF813" s="120" t="s">
        <v>207</v>
      </c>
      <c r="AG813" s="120">
        <v>237</v>
      </c>
      <c r="AH813" s="120" t="s">
        <v>207</v>
      </c>
      <c r="AI813" s="120">
        <v>151</v>
      </c>
      <c r="AJ813" s="120" t="s">
        <v>207</v>
      </c>
      <c r="AK813" s="120">
        <v>164</v>
      </c>
      <c r="AL813" s="120" t="s">
        <v>207</v>
      </c>
      <c r="AM813" s="117">
        <f t="shared" si="20"/>
        <v>3003</v>
      </c>
    </row>
    <row r="814" spans="1:39" s="90" customFormat="1" ht="18" customHeight="1" x14ac:dyDescent="0.3">
      <c r="A814" s="114">
        <v>529</v>
      </c>
      <c r="B814" s="11" t="s">
        <v>1221</v>
      </c>
      <c r="C814" s="88" t="s">
        <v>268</v>
      </c>
      <c r="D814" s="88" t="s">
        <v>958</v>
      </c>
      <c r="E814" s="31" t="s">
        <v>48</v>
      </c>
      <c r="F814" s="85" t="s">
        <v>49</v>
      </c>
      <c r="G814" s="375"/>
      <c r="H814" s="365">
        <v>16</v>
      </c>
      <c r="I814" s="379"/>
      <c r="J814" s="365">
        <v>2</v>
      </c>
      <c r="K814" s="120"/>
      <c r="L814" s="120"/>
      <c r="M814" s="120"/>
      <c r="N814" s="120"/>
      <c r="O814" s="120"/>
      <c r="P814" s="120" t="s">
        <v>207</v>
      </c>
      <c r="Q814" s="120"/>
      <c r="R814" s="120" t="s">
        <v>207</v>
      </c>
      <c r="S814" s="120"/>
      <c r="T814" s="120" t="s">
        <v>207</v>
      </c>
      <c r="U814" s="120"/>
      <c r="V814" s="120" t="s">
        <v>207</v>
      </c>
      <c r="W814" s="120"/>
      <c r="X814" s="120" t="s">
        <v>207</v>
      </c>
      <c r="Y814" s="120"/>
      <c r="Z814" s="120" t="s">
        <v>207</v>
      </c>
      <c r="AA814" s="120"/>
      <c r="AB814" s="120" t="s">
        <v>207</v>
      </c>
      <c r="AC814" s="120"/>
      <c r="AD814" s="120" t="s">
        <v>207</v>
      </c>
      <c r="AE814" s="120"/>
      <c r="AF814" s="120" t="s">
        <v>207</v>
      </c>
      <c r="AG814" s="120"/>
      <c r="AH814" s="120" t="s">
        <v>207</v>
      </c>
      <c r="AI814" s="120"/>
      <c r="AJ814" s="120" t="s">
        <v>207</v>
      </c>
      <c r="AK814" s="120"/>
      <c r="AL814" s="120" t="s">
        <v>207</v>
      </c>
      <c r="AM814" s="117">
        <f t="shared" ref="AM814:AM877" si="21">SUM(O814,Q814,S814,U814,W814,Y814,AA814,AC814,AE814,AG814,AI814,AK814)</f>
        <v>0</v>
      </c>
    </row>
    <row r="815" spans="1:39" s="90" customFormat="1" ht="18" customHeight="1" x14ac:dyDescent="0.3">
      <c r="A815" s="297">
        <v>530</v>
      </c>
      <c r="B815" s="11" t="s">
        <v>1222</v>
      </c>
      <c r="C815" s="88" t="s">
        <v>268</v>
      </c>
      <c r="D815" s="88" t="s">
        <v>958</v>
      </c>
      <c r="E815" s="31" t="s">
        <v>48</v>
      </c>
      <c r="F815" s="85" t="s">
        <v>49</v>
      </c>
      <c r="G815" s="375"/>
      <c r="H815" s="365">
        <v>16</v>
      </c>
      <c r="I815" s="379"/>
      <c r="J815" s="365">
        <v>2</v>
      </c>
      <c r="K815" s="120"/>
      <c r="L815" s="120"/>
      <c r="M815" s="120"/>
      <c r="N815" s="120"/>
      <c r="O815" s="120"/>
      <c r="P815" s="120" t="s">
        <v>207</v>
      </c>
      <c r="Q815" s="120"/>
      <c r="R815" s="120" t="s">
        <v>207</v>
      </c>
      <c r="S815" s="120"/>
      <c r="T815" s="120" t="s">
        <v>207</v>
      </c>
      <c r="U815" s="120"/>
      <c r="V815" s="120" t="s">
        <v>207</v>
      </c>
      <c r="W815" s="120"/>
      <c r="X815" s="120" t="s">
        <v>207</v>
      </c>
      <c r="Y815" s="120"/>
      <c r="Z815" s="120" t="s">
        <v>207</v>
      </c>
      <c r="AA815" s="120"/>
      <c r="AB815" s="120" t="s">
        <v>207</v>
      </c>
      <c r="AC815" s="120"/>
      <c r="AD815" s="120" t="s">
        <v>207</v>
      </c>
      <c r="AE815" s="120"/>
      <c r="AF815" s="120" t="s">
        <v>207</v>
      </c>
      <c r="AG815" s="120"/>
      <c r="AH815" s="120" t="s">
        <v>207</v>
      </c>
      <c r="AI815" s="120"/>
      <c r="AJ815" s="120" t="s">
        <v>207</v>
      </c>
      <c r="AK815" s="120"/>
      <c r="AL815" s="120" t="s">
        <v>207</v>
      </c>
      <c r="AM815" s="117">
        <f t="shared" si="21"/>
        <v>0</v>
      </c>
    </row>
    <row r="816" spans="1:39" s="90" customFormat="1" ht="18" customHeight="1" x14ac:dyDescent="0.3">
      <c r="A816" s="114">
        <v>531</v>
      </c>
      <c r="B816" s="11" t="s">
        <v>1223</v>
      </c>
      <c r="C816" s="88" t="s">
        <v>268</v>
      </c>
      <c r="D816" s="88" t="s">
        <v>958</v>
      </c>
      <c r="E816" s="31" t="s">
        <v>48</v>
      </c>
      <c r="F816" s="85" t="s">
        <v>49</v>
      </c>
      <c r="G816" s="375"/>
      <c r="H816" s="365">
        <v>16</v>
      </c>
      <c r="I816" s="379"/>
      <c r="J816" s="365">
        <v>2</v>
      </c>
      <c r="K816" s="120"/>
      <c r="L816" s="120"/>
      <c r="M816" s="120"/>
      <c r="N816" s="120"/>
      <c r="O816" s="120"/>
      <c r="P816" s="120" t="s">
        <v>207</v>
      </c>
      <c r="Q816" s="120"/>
      <c r="R816" s="120" t="s">
        <v>207</v>
      </c>
      <c r="S816" s="120"/>
      <c r="T816" s="120" t="s">
        <v>207</v>
      </c>
      <c r="U816" s="120"/>
      <c r="V816" s="120" t="s">
        <v>207</v>
      </c>
      <c r="W816" s="120"/>
      <c r="X816" s="120" t="s">
        <v>207</v>
      </c>
      <c r="Y816" s="120"/>
      <c r="Z816" s="120" t="s">
        <v>207</v>
      </c>
      <c r="AA816" s="120"/>
      <c r="AB816" s="120" t="s">
        <v>207</v>
      </c>
      <c r="AC816" s="120"/>
      <c r="AD816" s="120" t="s">
        <v>207</v>
      </c>
      <c r="AE816" s="120"/>
      <c r="AF816" s="120" t="s">
        <v>207</v>
      </c>
      <c r="AG816" s="120"/>
      <c r="AH816" s="120" t="s">
        <v>207</v>
      </c>
      <c r="AI816" s="120"/>
      <c r="AJ816" s="120" t="s">
        <v>207</v>
      </c>
      <c r="AK816" s="120"/>
      <c r="AL816" s="120" t="s">
        <v>207</v>
      </c>
      <c r="AM816" s="117">
        <f t="shared" si="21"/>
        <v>0</v>
      </c>
    </row>
    <row r="817" spans="1:39" s="90" customFormat="1" ht="18" customHeight="1" x14ac:dyDescent="0.3">
      <c r="A817" s="114">
        <v>532</v>
      </c>
      <c r="B817" s="11" t="s">
        <v>1224</v>
      </c>
      <c r="C817" s="88" t="s">
        <v>268</v>
      </c>
      <c r="D817" s="88" t="s">
        <v>958</v>
      </c>
      <c r="E817" s="31" t="s">
        <v>48</v>
      </c>
      <c r="F817" s="85" t="s">
        <v>49</v>
      </c>
      <c r="G817" s="375"/>
      <c r="H817" s="365">
        <v>16</v>
      </c>
      <c r="I817" s="379"/>
      <c r="J817" s="365">
        <v>2</v>
      </c>
      <c r="K817" s="120"/>
      <c r="L817" s="120"/>
      <c r="M817" s="120"/>
      <c r="N817" s="120"/>
      <c r="O817" s="120"/>
      <c r="P817" s="120" t="s">
        <v>207</v>
      </c>
      <c r="Q817" s="120"/>
      <c r="R817" s="120" t="s">
        <v>207</v>
      </c>
      <c r="S817" s="120"/>
      <c r="T817" s="120" t="s">
        <v>207</v>
      </c>
      <c r="U817" s="120"/>
      <c r="V817" s="120" t="s">
        <v>207</v>
      </c>
      <c r="W817" s="120"/>
      <c r="X817" s="120" t="s">
        <v>207</v>
      </c>
      <c r="Y817" s="120"/>
      <c r="Z817" s="120" t="s">
        <v>207</v>
      </c>
      <c r="AA817" s="120"/>
      <c r="AB817" s="120" t="s">
        <v>207</v>
      </c>
      <c r="AC817" s="120"/>
      <c r="AD817" s="120" t="s">
        <v>207</v>
      </c>
      <c r="AE817" s="120"/>
      <c r="AF817" s="120" t="s">
        <v>207</v>
      </c>
      <c r="AG817" s="120"/>
      <c r="AH817" s="120" t="s">
        <v>207</v>
      </c>
      <c r="AI817" s="120"/>
      <c r="AJ817" s="120" t="s">
        <v>207</v>
      </c>
      <c r="AK817" s="120"/>
      <c r="AL817" s="120" t="s">
        <v>207</v>
      </c>
      <c r="AM817" s="117">
        <f t="shared" si="21"/>
        <v>0</v>
      </c>
    </row>
    <row r="818" spans="1:39" s="90" customFormat="1" ht="18" customHeight="1" x14ac:dyDescent="0.3">
      <c r="A818" s="297">
        <v>533</v>
      </c>
      <c r="B818" s="11" t="s">
        <v>1225</v>
      </c>
      <c r="C818" s="88" t="s">
        <v>268</v>
      </c>
      <c r="D818" s="88" t="s">
        <v>958</v>
      </c>
      <c r="E818" s="31" t="s">
        <v>48</v>
      </c>
      <c r="F818" s="85" t="s">
        <v>49</v>
      </c>
      <c r="G818" s="375"/>
      <c r="H818" s="365">
        <v>16</v>
      </c>
      <c r="I818" s="379"/>
      <c r="J818" s="365">
        <v>2</v>
      </c>
      <c r="K818" s="120"/>
      <c r="L818" s="120"/>
      <c r="M818" s="120">
        <v>4842</v>
      </c>
      <c r="N818" s="120">
        <v>3972</v>
      </c>
      <c r="O818" s="120">
        <v>672</v>
      </c>
      <c r="P818" s="120" t="s">
        <v>207</v>
      </c>
      <c r="Q818" s="120">
        <v>353</v>
      </c>
      <c r="R818" s="120" t="s">
        <v>207</v>
      </c>
      <c r="S818" s="120">
        <v>296</v>
      </c>
      <c r="T818" s="120" t="s">
        <v>207</v>
      </c>
      <c r="U818" s="120">
        <v>564</v>
      </c>
      <c r="V818" s="120" t="s">
        <v>207</v>
      </c>
      <c r="W818" s="120">
        <v>387</v>
      </c>
      <c r="X818" s="120" t="s">
        <v>207</v>
      </c>
      <c r="Y818" s="120">
        <v>634</v>
      </c>
      <c r="Z818" s="120" t="s">
        <v>207</v>
      </c>
      <c r="AA818" s="120">
        <v>551</v>
      </c>
      <c r="AB818" s="120" t="s">
        <v>207</v>
      </c>
      <c r="AC818" s="120">
        <v>639</v>
      </c>
      <c r="AD818" s="120" t="s">
        <v>207</v>
      </c>
      <c r="AE818" s="120">
        <v>612</v>
      </c>
      <c r="AF818" s="120" t="s">
        <v>207</v>
      </c>
      <c r="AG818" s="120">
        <v>668</v>
      </c>
      <c r="AH818" s="120" t="s">
        <v>207</v>
      </c>
      <c r="AI818" s="120">
        <v>479</v>
      </c>
      <c r="AJ818" s="120" t="s">
        <v>207</v>
      </c>
      <c r="AK818" s="120">
        <v>434</v>
      </c>
      <c r="AL818" s="120" t="s">
        <v>207</v>
      </c>
      <c r="AM818" s="117">
        <f t="shared" si="21"/>
        <v>6289</v>
      </c>
    </row>
    <row r="819" spans="1:39" s="90" customFormat="1" ht="18" customHeight="1" x14ac:dyDescent="0.3">
      <c r="A819" s="114">
        <v>534</v>
      </c>
      <c r="B819" s="11" t="s">
        <v>1226</v>
      </c>
      <c r="C819" s="88" t="s">
        <v>268</v>
      </c>
      <c r="D819" s="88" t="s">
        <v>958</v>
      </c>
      <c r="E819" s="31" t="s">
        <v>48</v>
      </c>
      <c r="F819" s="85" t="s">
        <v>49</v>
      </c>
      <c r="G819" s="375"/>
      <c r="H819" s="365">
        <v>16</v>
      </c>
      <c r="I819" s="379"/>
      <c r="J819" s="365">
        <v>2</v>
      </c>
      <c r="K819" s="120"/>
      <c r="L819" s="120"/>
      <c r="M819" s="120">
        <v>7000</v>
      </c>
      <c r="N819" s="120">
        <v>6658</v>
      </c>
      <c r="O819" s="120">
        <v>639</v>
      </c>
      <c r="P819" s="120" t="s">
        <v>207</v>
      </c>
      <c r="Q819" s="120">
        <v>571</v>
      </c>
      <c r="R819" s="120" t="s">
        <v>207</v>
      </c>
      <c r="S819" s="120">
        <v>473</v>
      </c>
      <c r="T819" s="120" t="s">
        <v>207</v>
      </c>
      <c r="U819" s="120">
        <v>569</v>
      </c>
      <c r="V819" s="120" t="s">
        <v>207</v>
      </c>
      <c r="W819" s="120">
        <v>238</v>
      </c>
      <c r="X819" s="120" t="s">
        <v>207</v>
      </c>
      <c r="Y819" s="120">
        <v>285</v>
      </c>
      <c r="Z819" s="120" t="s">
        <v>207</v>
      </c>
      <c r="AA819" s="120">
        <v>208</v>
      </c>
      <c r="AB819" s="120" t="s">
        <v>207</v>
      </c>
      <c r="AC819" s="120">
        <v>253</v>
      </c>
      <c r="AD819" s="120" t="s">
        <v>207</v>
      </c>
      <c r="AE819" s="120">
        <v>383</v>
      </c>
      <c r="AF819" s="120" t="s">
        <v>207</v>
      </c>
      <c r="AG819" s="120">
        <v>366</v>
      </c>
      <c r="AH819" s="120" t="s">
        <v>207</v>
      </c>
      <c r="AI819" s="120">
        <v>388</v>
      </c>
      <c r="AJ819" s="120" t="s">
        <v>207</v>
      </c>
      <c r="AK819" s="120">
        <v>630</v>
      </c>
      <c r="AL819" s="120" t="s">
        <v>207</v>
      </c>
      <c r="AM819" s="117">
        <f t="shared" si="21"/>
        <v>5003</v>
      </c>
    </row>
    <row r="820" spans="1:39" s="90" customFormat="1" ht="18" customHeight="1" x14ac:dyDescent="0.3">
      <c r="A820" s="114">
        <v>535</v>
      </c>
      <c r="B820" s="11" t="s">
        <v>1227</v>
      </c>
      <c r="C820" s="88" t="s">
        <v>268</v>
      </c>
      <c r="D820" s="88" t="s">
        <v>958</v>
      </c>
      <c r="E820" s="31" t="s">
        <v>48</v>
      </c>
      <c r="F820" s="85" t="s">
        <v>49</v>
      </c>
      <c r="G820" s="375"/>
      <c r="H820" s="365">
        <v>16</v>
      </c>
      <c r="I820" s="379"/>
      <c r="J820" s="365">
        <v>2</v>
      </c>
      <c r="K820" s="120"/>
      <c r="L820" s="120"/>
      <c r="M820" s="120">
        <v>4071</v>
      </c>
      <c r="N820" s="120">
        <v>2620</v>
      </c>
      <c r="O820" s="120">
        <v>363</v>
      </c>
      <c r="P820" s="120" t="s">
        <v>207</v>
      </c>
      <c r="Q820" s="120">
        <v>250</v>
      </c>
      <c r="R820" s="120" t="s">
        <v>207</v>
      </c>
      <c r="S820" s="120">
        <v>257</v>
      </c>
      <c r="T820" s="120" t="s">
        <v>207</v>
      </c>
      <c r="U820" s="120">
        <v>352</v>
      </c>
      <c r="V820" s="120" t="s">
        <v>207</v>
      </c>
      <c r="W820" s="120">
        <v>222</v>
      </c>
      <c r="X820" s="120" t="s">
        <v>207</v>
      </c>
      <c r="Y820" s="120">
        <v>301</v>
      </c>
      <c r="Z820" s="120" t="s">
        <v>207</v>
      </c>
      <c r="AA820" s="120">
        <v>229</v>
      </c>
      <c r="AB820" s="120" t="s">
        <v>207</v>
      </c>
      <c r="AC820" s="120">
        <v>162</v>
      </c>
      <c r="AD820" s="120" t="s">
        <v>207</v>
      </c>
      <c r="AE820" s="120">
        <v>600</v>
      </c>
      <c r="AF820" s="120" t="s">
        <v>207</v>
      </c>
      <c r="AG820" s="120">
        <v>50</v>
      </c>
      <c r="AH820" s="120" t="s">
        <v>207</v>
      </c>
      <c r="AI820" s="120">
        <v>145</v>
      </c>
      <c r="AJ820" s="120" t="s">
        <v>207</v>
      </c>
      <c r="AK820" s="120">
        <v>304</v>
      </c>
      <c r="AL820" s="120" t="s">
        <v>207</v>
      </c>
      <c r="AM820" s="117">
        <f t="shared" si="21"/>
        <v>3235</v>
      </c>
    </row>
    <row r="821" spans="1:39" s="90" customFormat="1" ht="18" customHeight="1" x14ac:dyDescent="0.3">
      <c r="A821" s="297">
        <v>536</v>
      </c>
      <c r="B821" s="11" t="s">
        <v>1228</v>
      </c>
      <c r="C821" s="88" t="s">
        <v>268</v>
      </c>
      <c r="D821" s="88" t="s">
        <v>958</v>
      </c>
      <c r="E821" s="31" t="s">
        <v>48</v>
      </c>
      <c r="F821" s="85" t="s">
        <v>49</v>
      </c>
      <c r="G821" s="375"/>
      <c r="H821" s="365">
        <v>16</v>
      </c>
      <c r="I821" s="379"/>
      <c r="J821" s="365">
        <v>2</v>
      </c>
      <c r="K821" s="120"/>
      <c r="L821" s="120"/>
      <c r="M821" s="120">
        <v>5260</v>
      </c>
      <c r="N821" s="120">
        <v>4760</v>
      </c>
      <c r="O821" s="120">
        <v>452</v>
      </c>
      <c r="P821" s="120" t="s">
        <v>207</v>
      </c>
      <c r="Q821" s="120">
        <v>487</v>
      </c>
      <c r="R821" s="120" t="s">
        <v>207</v>
      </c>
      <c r="S821" s="120">
        <v>530</v>
      </c>
      <c r="T821" s="120" t="s">
        <v>207</v>
      </c>
      <c r="U821" s="120">
        <v>350</v>
      </c>
      <c r="V821" s="120" t="s">
        <v>207</v>
      </c>
      <c r="W821" s="120">
        <v>322</v>
      </c>
      <c r="X821" s="120" t="s">
        <v>207</v>
      </c>
      <c r="Y821" s="120">
        <v>381</v>
      </c>
      <c r="Z821" s="120" t="s">
        <v>207</v>
      </c>
      <c r="AA821" s="120">
        <v>148</v>
      </c>
      <c r="AB821" s="120" t="s">
        <v>207</v>
      </c>
      <c r="AC821" s="120">
        <v>375</v>
      </c>
      <c r="AD821" s="120" t="s">
        <v>207</v>
      </c>
      <c r="AE821" s="120">
        <v>469</v>
      </c>
      <c r="AF821" s="120" t="s">
        <v>207</v>
      </c>
      <c r="AG821" s="120">
        <v>463</v>
      </c>
      <c r="AH821" s="120" t="s">
        <v>207</v>
      </c>
      <c r="AI821" s="120">
        <v>444</v>
      </c>
      <c r="AJ821" s="120" t="s">
        <v>207</v>
      </c>
      <c r="AK821" s="120">
        <v>548</v>
      </c>
      <c r="AL821" s="120" t="s">
        <v>207</v>
      </c>
      <c r="AM821" s="117">
        <f t="shared" si="21"/>
        <v>4969</v>
      </c>
    </row>
    <row r="822" spans="1:39" s="90" customFormat="1" ht="18" customHeight="1" x14ac:dyDescent="0.3">
      <c r="A822" s="114">
        <v>537</v>
      </c>
      <c r="B822" s="11" t="s">
        <v>1229</v>
      </c>
      <c r="C822" s="88" t="s">
        <v>268</v>
      </c>
      <c r="D822" s="88" t="s">
        <v>958</v>
      </c>
      <c r="E822" s="31" t="s">
        <v>48</v>
      </c>
      <c r="F822" s="85" t="s">
        <v>49</v>
      </c>
      <c r="G822" s="375"/>
      <c r="H822" s="365">
        <v>16</v>
      </c>
      <c r="I822" s="379"/>
      <c r="J822" s="365">
        <v>2</v>
      </c>
      <c r="K822" s="120"/>
      <c r="L822" s="120"/>
      <c r="M822" s="120">
        <v>836</v>
      </c>
      <c r="N822" s="120">
        <v>604</v>
      </c>
      <c r="O822" s="120">
        <v>372</v>
      </c>
      <c r="P822" s="120" t="s">
        <v>207</v>
      </c>
      <c r="Q822" s="120">
        <v>336</v>
      </c>
      <c r="R822" s="120" t="s">
        <v>207</v>
      </c>
      <c r="S822" s="120">
        <v>619</v>
      </c>
      <c r="T822" s="120" t="s">
        <v>207</v>
      </c>
      <c r="U822" s="120">
        <v>-372</v>
      </c>
      <c r="V822" s="120" t="s">
        <v>207</v>
      </c>
      <c r="W822" s="120">
        <v>7</v>
      </c>
      <c r="X822" s="120" t="s">
        <v>207</v>
      </c>
      <c r="Y822" s="120">
        <v>3</v>
      </c>
      <c r="Z822" s="120" t="s">
        <v>207</v>
      </c>
      <c r="AA822" s="120">
        <v>3</v>
      </c>
      <c r="AB822" s="120" t="s">
        <v>207</v>
      </c>
      <c r="AC822" s="120">
        <v>5</v>
      </c>
      <c r="AD822" s="120" t="s">
        <v>207</v>
      </c>
      <c r="AE822" s="120">
        <v>13</v>
      </c>
      <c r="AF822" s="120" t="s">
        <v>207</v>
      </c>
      <c r="AG822" s="120">
        <v>139</v>
      </c>
      <c r="AH822" s="120" t="s">
        <v>207</v>
      </c>
      <c r="AI822" s="120">
        <v>148</v>
      </c>
      <c r="AJ822" s="120" t="s">
        <v>207</v>
      </c>
      <c r="AK822" s="120">
        <v>156</v>
      </c>
      <c r="AL822" s="120" t="s">
        <v>207</v>
      </c>
      <c r="AM822" s="117">
        <f t="shared" si="21"/>
        <v>1429</v>
      </c>
    </row>
    <row r="823" spans="1:39" s="90" customFormat="1" ht="18" customHeight="1" x14ac:dyDescent="0.3">
      <c r="A823" s="114">
        <v>538</v>
      </c>
      <c r="B823" s="11" t="s">
        <v>1230</v>
      </c>
      <c r="C823" s="88" t="s">
        <v>268</v>
      </c>
      <c r="D823" s="88" t="s">
        <v>958</v>
      </c>
      <c r="E823" s="31" t="s">
        <v>48</v>
      </c>
      <c r="F823" s="85" t="s">
        <v>49</v>
      </c>
      <c r="G823" s="375"/>
      <c r="H823" s="365">
        <v>16</v>
      </c>
      <c r="I823" s="379"/>
      <c r="J823" s="365">
        <v>2</v>
      </c>
      <c r="K823" s="120"/>
      <c r="L823" s="120"/>
      <c r="M823" s="120">
        <v>1584</v>
      </c>
      <c r="N823" s="120">
        <v>1584</v>
      </c>
      <c r="O823" s="120">
        <v>558</v>
      </c>
      <c r="P823" s="120" t="s">
        <v>207</v>
      </c>
      <c r="Q823" s="120">
        <v>504</v>
      </c>
      <c r="R823" s="120" t="s">
        <v>207</v>
      </c>
      <c r="S823" s="120">
        <v>558</v>
      </c>
      <c r="T823" s="120" t="s">
        <v>207</v>
      </c>
      <c r="U823" s="120">
        <v>540</v>
      </c>
      <c r="V823" s="120" t="s">
        <v>207</v>
      </c>
      <c r="W823" s="120">
        <v>558</v>
      </c>
      <c r="X823" s="120" t="s">
        <v>207</v>
      </c>
      <c r="Y823" s="120">
        <v>540</v>
      </c>
      <c r="Z823" s="120" t="s">
        <v>207</v>
      </c>
      <c r="AA823" s="120">
        <v>558</v>
      </c>
      <c r="AB823" s="120" t="s">
        <v>207</v>
      </c>
      <c r="AC823" s="120">
        <v>558</v>
      </c>
      <c r="AD823" s="120" t="s">
        <v>207</v>
      </c>
      <c r="AE823" s="120">
        <v>540</v>
      </c>
      <c r="AF823" s="120" t="s">
        <v>207</v>
      </c>
      <c r="AG823" s="120">
        <v>558</v>
      </c>
      <c r="AH823" s="120" t="s">
        <v>207</v>
      </c>
      <c r="AI823" s="120">
        <v>540</v>
      </c>
      <c r="AJ823" s="120" t="s">
        <v>207</v>
      </c>
      <c r="AK823" s="120">
        <v>558</v>
      </c>
      <c r="AL823" s="120" t="s">
        <v>207</v>
      </c>
      <c r="AM823" s="117">
        <f t="shared" si="21"/>
        <v>6570</v>
      </c>
    </row>
    <row r="824" spans="1:39" s="90" customFormat="1" ht="18" customHeight="1" x14ac:dyDescent="0.3">
      <c r="A824" s="297">
        <v>539</v>
      </c>
      <c r="B824" s="11" t="s">
        <v>1231</v>
      </c>
      <c r="C824" s="88" t="s">
        <v>268</v>
      </c>
      <c r="D824" s="88" t="s">
        <v>958</v>
      </c>
      <c r="E824" s="31" t="s">
        <v>48</v>
      </c>
      <c r="F824" s="85" t="s">
        <v>49</v>
      </c>
      <c r="G824" s="375"/>
      <c r="H824" s="365">
        <v>16</v>
      </c>
      <c r="I824" s="379"/>
      <c r="J824" s="365">
        <v>2</v>
      </c>
      <c r="K824" s="120"/>
      <c r="L824" s="120"/>
      <c r="M824" s="120">
        <v>9639</v>
      </c>
      <c r="N824" s="120">
        <v>7560</v>
      </c>
      <c r="O824" s="120">
        <v>446</v>
      </c>
      <c r="P824" s="120" t="s">
        <v>207</v>
      </c>
      <c r="Q824" s="120">
        <v>403</v>
      </c>
      <c r="R824" s="120" t="s">
        <v>207</v>
      </c>
      <c r="S824" s="120">
        <v>446</v>
      </c>
      <c r="T824" s="120" t="s">
        <v>207</v>
      </c>
      <c r="U824" s="120">
        <v>432</v>
      </c>
      <c r="V824" s="120" t="s">
        <v>207</v>
      </c>
      <c r="W824" s="120">
        <v>446</v>
      </c>
      <c r="X824" s="120" t="s">
        <v>207</v>
      </c>
      <c r="Y824" s="120">
        <v>432</v>
      </c>
      <c r="Z824" s="120" t="s">
        <v>207</v>
      </c>
      <c r="AA824" s="120">
        <v>446</v>
      </c>
      <c r="AB824" s="120" t="s">
        <v>207</v>
      </c>
      <c r="AC824" s="120">
        <v>446</v>
      </c>
      <c r="AD824" s="120" t="s">
        <v>207</v>
      </c>
      <c r="AE824" s="120">
        <v>432</v>
      </c>
      <c r="AF824" s="120" t="s">
        <v>207</v>
      </c>
      <c r="AG824" s="120">
        <v>446</v>
      </c>
      <c r="AH824" s="120" t="s">
        <v>207</v>
      </c>
      <c r="AI824" s="120">
        <v>432</v>
      </c>
      <c r="AJ824" s="120" t="s">
        <v>207</v>
      </c>
      <c r="AK824" s="120">
        <v>446</v>
      </c>
      <c r="AL824" s="120" t="s">
        <v>207</v>
      </c>
      <c r="AM824" s="117">
        <f t="shared" si="21"/>
        <v>5253</v>
      </c>
    </row>
    <row r="825" spans="1:39" s="90" customFormat="1" ht="18" customHeight="1" x14ac:dyDescent="0.3">
      <c r="A825" s="114">
        <v>540</v>
      </c>
      <c r="B825" s="11" t="s">
        <v>1232</v>
      </c>
      <c r="C825" s="88" t="s">
        <v>268</v>
      </c>
      <c r="D825" s="88" t="s">
        <v>958</v>
      </c>
      <c r="E825" s="31" t="s">
        <v>48</v>
      </c>
      <c r="F825" s="85" t="s">
        <v>49</v>
      </c>
      <c r="G825" s="375"/>
      <c r="H825" s="365">
        <v>16</v>
      </c>
      <c r="I825" s="379"/>
      <c r="J825" s="365">
        <v>2</v>
      </c>
      <c r="K825" s="120"/>
      <c r="L825" s="120"/>
      <c r="M825" s="120">
        <v>5873</v>
      </c>
      <c r="N825" s="120">
        <v>3392</v>
      </c>
      <c r="O825" s="120">
        <v>486</v>
      </c>
      <c r="P825" s="120" t="s">
        <v>207</v>
      </c>
      <c r="Q825" s="120">
        <v>300</v>
      </c>
      <c r="R825" s="120" t="s">
        <v>207</v>
      </c>
      <c r="S825" s="120">
        <v>252</v>
      </c>
      <c r="T825" s="120" t="s">
        <v>207</v>
      </c>
      <c r="U825" s="120">
        <v>564</v>
      </c>
      <c r="V825" s="120" t="s">
        <v>207</v>
      </c>
      <c r="W825" s="120">
        <v>326</v>
      </c>
      <c r="X825" s="120" t="s">
        <v>207</v>
      </c>
      <c r="Y825" s="120">
        <v>229</v>
      </c>
      <c r="Z825" s="120" t="s">
        <v>207</v>
      </c>
      <c r="AA825" s="120">
        <v>551</v>
      </c>
      <c r="AB825" s="120" t="s">
        <v>207</v>
      </c>
      <c r="AC825" s="120">
        <v>286</v>
      </c>
      <c r="AD825" s="120" t="s">
        <v>207</v>
      </c>
      <c r="AE825" s="120">
        <v>334</v>
      </c>
      <c r="AF825" s="120" t="s">
        <v>207</v>
      </c>
      <c r="AG825" s="120">
        <v>372</v>
      </c>
      <c r="AH825" s="120" t="s">
        <v>207</v>
      </c>
      <c r="AI825" s="120">
        <v>463</v>
      </c>
      <c r="AJ825" s="120" t="s">
        <v>207</v>
      </c>
      <c r="AK825" s="120">
        <v>596</v>
      </c>
      <c r="AL825" s="120" t="s">
        <v>207</v>
      </c>
      <c r="AM825" s="117">
        <f t="shared" si="21"/>
        <v>4759</v>
      </c>
    </row>
    <row r="826" spans="1:39" s="90" customFormat="1" ht="18" customHeight="1" x14ac:dyDescent="0.3">
      <c r="A826" s="114">
        <v>541</v>
      </c>
      <c r="B826" s="11" t="s">
        <v>1233</v>
      </c>
      <c r="C826" s="88" t="s">
        <v>268</v>
      </c>
      <c r="D826" s="88" t="s">
        <v>958</v>
      </c>
      <c r="E826" s="31" t="s">
        <v>48</v>
      </c>
      <c r="F826" s="85" t="s">
        <v>49</v>
      </c>
      <c r="G826" s="375"/>
      <c r="H826" s="365">
        <v>14</v>
      </c>
      <c r="I826" s="379"/>
      <c r="J826" s="365">
        <v>2</v>
      </c>
      <c r="K826" s="120"/>
      <c r="L826" s="120"/>
      <c r="M826" s="120">
        <v>5236</v>
      </c>
      <c r="N826" s="120">
        <v>2018</v>
      </c>
      <c r="O826" s="120">
        <v>0</v>
      </c>
      <c r="P826" s="120" t="s">
        <v>207</v>
      </c>
      <c r="Q826" s="120">
        <v>0</v>
      </c>
      <c r="R826" s="120" t="s">
        <v>207</v>
      </c>
      <c r="S826" s="120">
        <v>63</v>
      </c>
      <c r="T826" s="120" t="s">
        <v>207</v>
      </c>
      <c r="U826" s="120">
        <v>103</v>
      </c>
      <c r="V826" s="120" t="s">
        <v>207</v>
      </c>
      <c r="W826" s="120">
        <v>65</v>
      </c>
      <c r="X826" s="120" t="s">
        <v>207</v>
      </c>
      <c r="Y826" s="120">
        <v>60</v>
      </c>
      <c r="Z826" s="120" t="s">
        <v>207</v>
      </c>
      <c r="AA826" s="120">
        <v>85</v>
      </c>
      <c r="AB826" s="120" t="s">
        <v>207</v>
      </c>
      <c r="AC826" s="120">
        <v>33</v>
      </c>
      <c r="AD826" s="120" t="s">
        <v>207</v>
      </c>
      <c r="AE826" s="120">
        <v>44</v>
      </c>
      <c r="AF826" s="120" t="s">
        <v>207</v>
      </c>
      <c r="AG826" s="120">
        <v>62</v>
      </c>
      <c r="AH826" s="120" t="s">
        <v>207</v>
      </c>
      <c r="AI826" s="120">
        <v>271</v>
      </c>
      <c r="AJ826" s="120" t="s">
        <v>207</v>
      </c>
      <c r="AK826" s="120">
        <v>36</v>
      </c>
      <c r="AL826" s="120" t="s">
        <v>207</v>
      </c>
      <c r="AM826" s="117">
        <f t="shared" si="21"/>
        <v>822</v>
      </c>
    </row>
    <row r="827" spans="1:39" s="90" customFormat="1" ht="18" customHeight="1" x14ac:dyDescent="0.3">
      <c r="A827" s="297">
        <v>542</v>
      </c>
      <c r="B827" s="11" t="s">
        <v>1234</v>
      </c>
      <c r="C827" s="88" t="s">
        <v>268</v>
      </c>
      <c r="D827" s="88" t="s">
        <v>958</v>
      </c>
      <c r="E827" s="31" t="s">
        <v>48</v>
      </c>
      <c r="F827" s="85" t="s">
        <v>49</v>
      </c>
      <c r="G827" s="375"/>
      <c r="H827" s="365">
        <v>15</v>
      </c>
      <c r="I827" s="379"/>
      <c r="J827" s="365">
        <v>2</v>
      </c>
      <c r="K827" s="120"/>
      <c r="L827" s="120"/>
      <c r="M827" s="120">
        <v>3736</v>
      </c>
      <c r="N827" s="120">
        <v>15028</v>
      </c>
      <c r="O827" s="120">
        <v>785</v>
      </c>
      <c r="P827" s="120" t="s">
        <v>207</v>
      </c>
      <c r="Q827" s="120">
        <v>857</v>
      </c>
      <c r="R827" s="120" t="s">
        <v>207</v>
      </c>
      <c r="S827" s="120">
        <v>462</v>
      </c>
      <c r="T827" s="120" t="s">
        <v>207</v>
      </c>
      <c r="U827" s="120">
        <v>567</v>
      </c>
      <c r="V827" s="120" t="s">
        <v>207</v>
      </c>
      <c r="W827" s="120">
        <v>645</v>
      </c>
      <c r="X827" s="120" t="s">
        <v>207</v>
      </c>
      <c r="Y827" s="120">
        <v>543</v>
      </c>
      <c r="Z827" s="120" t="s">
        <v>207</v>
      </c>
      <c r="AA827" s="120">
        <v>1405</v>
      </c>
      <c r="AB827" s="120" t="s">
        <v>207</v>
      </c>
      <c r="AC827" s="120">
        <v>516</v>
      </c>
      <c r="AD827" s="120" t="s">
        <v>207</v>
      </c>
      <c r="AE827" s="120">
        <v>1216</v>
      </c>
      <c r="AF827" s="120" t="s">
        <v>207</v>
      </c>
      <c r="AG827" s="120">
        <v>1131</v>
      </c>
      <c r="AH827" s="120" t="s">
        <v>207</v>
      </c>
      <c r="AI827" s="120">
        <v>1070</v>
      </c>
      <c r="AJ827" s="120" t="s">
        <v>207</v>
      </c>
      <c r="AK827" s="120">
        <v>1496</v>
      </c>
      <c r="AL827" s="120" t="s">
        <v>207</v>
      </c>
      <c r="AM827" s="117">
        <f t="shared" si="21"/>
        <v>10693</v>
      </c>
    </row>
    <row r="828" spans="1:39" s="90" customFormat="1" ht="18" customHeight="1" x14ac:dyDescent="0.3">
      <c r="A828" s="114">
        <v>543</v>
      </c>
      <c r="B828" s="11" t="s">
        <v>1235</v>
      </c>
      <c r="C828" s="88" t="s">
        <v>268</v>
      </c>
      <c r="D828" s="88" t="s">
        <v>958</v>
      </c>
      <c r="E828" s="31" t="s">
        <v>48</v>
      </c>
      <c r="F828" s="85" t="s">
        <v>49</v>
      </c>
      <c r="G828" s="375"/>
      <c r="H828" s="365">
        <v>14</v>
      </c>
      <c r="I828" s="379"/>
      <c r="J828" s="365">
        <v>2</v>
      </c>
      <c r="K828" s="120"/>
      <c r="L828" s="120"/>
      <c r="M828" s="120"/>
      <c r="N828" s="120">
        <v>2955</v>
      </c>
      <c r="O828" s="120">
        <v>0</v>
      </c>
      <c r="P828" s="120" t="s">
        <v>207</v>
      </c>
      <c r="Q828" s="120">
        <v>0</v>
      </c>
      <c r="R828" s="120" t="s">
        <v>207</v>
      </c>
      <c r="S828" s="120">
        <v>382</v>
      </c>
      <c r="T828" s="120" t="s">
        <v>207</v>
      </c>
      <c r="U828" s="120">
        <v>287</v>
      </c>
      <c r="V828" s="120" t="s">
        <v>207</v>
      </c>
      <c r="W828" s="120">
        <v>325</v>
      </c>
      <c r="X828" s="120" t="s">
        <v>207</v>
      </c>
      <c r="Y828" s="120">
        <v>300</v>
      </c>
      <c r="Z828" s="120" t="s">
        <v>207</v>
      </c>
      <c r="AA828" s="120">
        <v>416</v>
      </c>
      <c r="AB828" s="120" t="s">
        <v>207</v>
      </c>
      <c r="AC828" s="120">
        <v>537</v>
      </c>
      <c r="AD828" s="120" t="s">
        <v>207</v>
      </c>
      <c r="AE828" s="120">
        <v>472</v>
      </c>
      <c r="AF828" s="120" t="s">
        <v>207</v>
      </c>
      <c r="AG828" s="120">
        <v>337</v>
      </c>
      <c r="AH828" s="120" t="s">
        <v>207</v>
      </c>
      <c r="AI828" s="120">
        <v>286</v>
      </c>
      <c r="AJ828" s="120" t="s">
        <v>207</v>
      </c>
      <c r="AK828" s="120">
        <v>380</v>
      </c>
      <c r="AL828" s="120" t="s">
        <v>207</v>
      </c>
      <c r="AM828" s="117">
        <f t="shared" si="21"/>
        <v>3722</v>
      </c>
    </row>
    <row r="829" spans="1:39" s="90" customFormat="1" ht="18" customHeight="1" x14ac:dyDescent="0.3">
      <c r="A829" s="114">
        <v>544</v>
      </c>
      <c r="B829" s="11" t="s">
        <v>1236</v>
      </c>
      <c r="C829" s="88" t="s">
        <v>268</v>
      </c>
      <c r="D829" s="88" t="s">
        <v>958</v>
      </c>
      <c r="E829" s="31" t="s">
        <v>48</v>
      </c>
      <c r="F829" s="85" t="s">
        <v>49</v>
      </c>
      <c r="G829" s="375"/>
      <c r="H829" s="365">
        <v>7</v>
      </c>
      <c r="I829" s="379"/>
      <c r="J829" s="365">
        <v>1</v>
      </c>
      <c r="K829" s="120"/>
      <c r="L829" s="120"/>
      <c r="M829" s="120"/>
      <c r="N829" s="120"/>
      <c r="O829" s="120"/>
      <c r="P829" s="120" t="s">
        <v>207</v>
      </c>
      <c r="Q829" s="120"/>
      <c r="R829" s="120" t="s">
        <v>207</v>
      </c>
      <c r="S829" s="120"/>
      <c r="T829" s="120" t="s">
        <v>207</v>
      </c>
      <c r="U829" s="120"/>
      <c r="V829" s="120" t="s">
        <v>207</v>
      </c>
      <c r="W829" s="120"/>
      <c r="X829" s="120" t="s">
        <v>207</v>
      </c>
      <c r="Y829" s="120"/>
      <c r="Z829" s="120" t="s">
        <v>207</v>
      </c>
      <c r="AA829" s="120"/>
      <c r="AB829" s="120" t="s">
        <v>207</v>
      </c>
      <c r="AC829" s="120"/>
      <c r="AD829" s="120" t="s">
        <v>207</v>
      </c>
      <c r="AE829" s="120"/>
      <c r="AF829" s="120" t="s">
        <v>207</v>
      </c>
      <c r="AG829" s="120"/>
      <c r="AH829" s="120" t="s">
        <v>207</v>
      </c>
      <c r="AI829" s="120"/>
      <c r="AJ829" s="120" t="s">
        <v>207</v>
      </c>
      <c r="AK829" s="120"/>
      <c r="AL829" s="120" t="s">
        <v>207</v>
      </c>
      <c r="AM829" s="117">
        <f t="shared" si="21"/>
        <v>0</v>
      </c>
    </row>
    <row r="830" spans="1:39" s="90" customFormat="1" ht="18" customHeight="1" x14ac:dyDescent="0.3">
      <c r="A830" s="297">
        <v>545</v>
      </c>
      <c r="B830" s="11" t="s">
        <v>1237</v>
      </c>
      <c r="C830" s="88" t="s">
        <v>268</v>
      </c>
      <c r="D830" s="88" t="s">
        <v>958</v>
      </c>
      <c r="E830" s="31" t="s">
        <v>48</v>
      </c>
      <c r="F830" s="85" t="s">
        <v>49</v>
      </c>
      <c r="G830" s="375"/>
      <c r="H830" s="365">
        <v>28</v>
      </c>
      <c r="I830" s="379"/>
      <c r="J830" s="365">
        <v>4</v>
      </c>
      <c r="K830" s="120"/>
      <c r="L830" s="120"/>
      <c r="M830" s="120">
        <v>11651</v>
      </c>
      <c r="N830" s="120">
        <v>13160</v>
      </c>
      <c r="O830" s="120">
        <v>1456</v>
      </c>
      <c r="P830" s="120" t="s">
        <v>207</v>
      </c>
      <c r="Q830" s="120">
        <v>988</v>
      </c>
      <c r="R830" s="120" t="s">
        <v>207</v>
      </c>
      <c r="S830" s="120">
        <v>1250</v>
      </c>
      <c r="T830" s="120" t="s">
        <v>207</v>
      </c>
      <c r="U830" s="120">
        <v>905</v>
      </c>
      <c r="V830" s="120" t="s">
        <v>207</v>
      </c>
      <c r="W830" s="120">
        <v>840</v>
      </c>
      <c r="X830" s="120" t="s">
        <v>207</v>
      </c>
      <c r="Y830" s="120">
        <v>732</v>
      </c>
      <c r="Z830" s="120" t="s">
        <v>207</v>
      </c>
      <c r="AA830" s="120">
        <v>864</v>
      </c>
      <c r="AB830" s="120" t="s">
        <v>207</v>
      </c>
      <c r="AC830" s="120">
        <v>476</v>
      </c>
      <c r="AD830" s="120" t="s">
        <v>207</v>
      </c>
      <c r="AE830" s="120">
        <v>894</v>
      </c>
      <c r="AF830" s="120" t="s">
        <v>207</v>
      </c>
      <c r="AG830" s="120">
        <v>1039</v>
      </c>
      <c r="AH830" s="120" t="s">
        <v>207</v>
      </c>
      <c r="AI830" s="120">
        <v>1137</v>
      </c>
      <c r="AJ830" s="120" t="s">
        <v>207</v>
      </c>
      <c r="AK830" s="120">
        <v>1385</v>
      </c>
      <c r="AL830" s="120" t="s">
        <v>207</v>
      </c>
      <c r="AM830" s="117">
        <f t="shared" si="21"/>
        <v>11966</v>
      </c>
    </row>
    <row r="831" spans="1:39" s="90" customFormat="1" ht="18" customHeight="1" x14ac:dyDescent="0.3">
      <c r="A831" s="114">
        <v>546</v>
      </c>
      <c r="B831" s="11" t="s">
        <v>1238</v>
      </c>
      <c r="C831" s="88" t="s">
        <v>268</v>
      </c>
      <c r="D831" s="88" t="s">
        <v>958</v>
      </c>
      <c r="E831" s="31" t="s">
        <v>48</v>
      </c>
      <c r="F831" s="85" t="s">
        <v>49</v>
      </c>
      <c r="G831" s="375"/>
      <c r="H831" s="365">
        <v>32</v>
      </c>
      <c r="I831" s="379"/>
      <c r="J831" s="365">
        <v>4</v>
      </c>
      <c r="K831" s="120"/>
      <c r="L831" s="120"/>
      <c r="M831" s="120">
        <v>15092</v>
      </c>
      <c r="N831" s="120">
        <v>13434</v>
      </c>
      <c r="O831" s="120">
        <v>1591</v>
      </c>
      <c r="P831" s="120" t="s">
        <v>207</v>
      </c>
      <c r="Q831" s="120">
        <v>1967</v>
      </c>
      <c r="R831" s="120" t="s">
        <v>207</v>
      </c>
      <c r="S831" s="120">
        <v>1549</v>
      </c>
      <c r="T831" s="120" t="s">
        <v>207</v>
      </c>
      <c r="U831" s="120">
        <v>1407</v>
      </c>
      <c r="V831" s="120" t="s">
        <v>207</v>
      </c>
      <c r="W831" s="120">
        <v>1093</v>
      </c>
      <c r="X831" s="120" t="s">
        <v>207</v>
      </c>
      <c r="Y831" s="120">
        <v>1708</v>
      </c>
      <c r="Z831" s="120" t="s">
        <v>207</v>
      </c>
      <c r="AA831" s="120">
        <v>1749</v>
      </c>
      <c r="AB831" s="120" t="s">
        <v>207</v>
      </c>
      <c r="AC831" s="120">
        <v>2</v>
      </c>
      <c r="AD831" s="120" t="s">
        <v>207</v>
      </c>
      <c r="AE831" s="120">
        <v>1895</v>
      </c>
      <c r="AF831" s="120" t="s">
        <v>207</v>
      </c>
      <c r="AG831" s="120">
        <v>1026</v>
      </c>
      <c r="AH831" s="120" t="s">
        <v>207</v>
      </c>
      <c r="AI831" s="120">
        <v>1584</v>
      </c>
      <c r="AJ831" s="120" t="s">
        <v>207</v>
      </c>
      <c r="AK831" s="120">
        <v>2235</v>
      </c>
      <c r="AL831" s="120" t="s">
        <v>207</v>
      </c>
      <c r="AM831" s="117">
        <f t="shared" si="21"/>
        <v>17806</v>
      </c>
    </row>
    <row r="832" spans="1:39" s="90" customFormat="1" ht="18" customHeight="1" x14ac:dyDescent="0.3">
      <c r="A832" s="114">
        <v>547</v>
      </c>
      <c r="B832" s="11" t="s">
        <v>1239</v>
      </c>
      <c r="C832" s="88" t="s">
        <v>268</v>
      </c>
      <c r="D832" s="88" t="s">
        <v>958</v>
      </c>
      <c r="E832" s="31" t="s">
        <v>48</v>
      </c>
      <c r="F832" s="85" t="s">
        <v>49</v>
      </c>
      <c r="G832" s="375"/>
      <c r="H832" s="365">
        <v>28</v>
      </c>
      <c r="I832" s="379"/>
      <c r="J832" s="365">
        <v>4</v>
      </c>
      <c r="K832" s="120"/>
      <c r="L832" s="120"/>
      <c r="M832" s="120">
        <v>49956</v>
      </c>
      <c r="N832" s="120">
        <v>40581</v>
      </c>
      <c r="O832" s="120">
        <v>3469</v>
      </c>
      <c r="P832" s="120" t="s">
        <v>207</v>
      </c>
      <c r="Q832" s="120">
        <v>3266</v>
      </c>
      <c r="R832" s="120" t="s">
        <v>207</v>
      </c>
      <c r="S832" s="120">
        <v>3193</v>
      </c>
      <c r="T832" s="120" t="s">
        <v>207</v>
      </c>
      <c r="U832" s="120">
        <v>3628</v>
      </c>
      <c r="V832" s="120" t="s">
        <v>207</v>
      </c>
      <c r="W832" s="120">
        <v>3546</v>
      </c>
      <c r="X832" s="120" t="s">
        <v>207</v>
      </c>
      <c r="Y832" s="120">
        <v>3448</v>
      </c>
      <c r="Z832" s="120" t="s">
        <v>207</v>
      </c>
      <c r="AA832" s="120">
        <v>3571</v>
      </c>
      <c r="AB832" s="120" t="s">
        <v>207</v>
      </c>
      <c r="AC832" s="120">
        <v>2951</v>
      </c>
      <c r="AD832" s="120" t="s">
        <v>207</v>
      </c>
      <c r="AE832" s="120">
        <v>3019</v>
      </c>
      <c r="AF832" s="120" t="s">
        <v>207</v>
      </c>
      <c r="AG832" s="120">
        <v>3889</v>
      </c>
      <c r="AH832" s="120" t="s">
        <v>207</v>
      </c>
      <c r="AI832" s="120">
        <v>3284</v>
      </c>
      <c r="AJ832" s="120" t="s">
        <v>207</v>
      </c>
      <c r="AK832" s="120">
        <v>2990</v>
      </c>
      <c r="AL832" s="120" t="s">
        <v>207</v>
      </c>
      <c r="AM832" s="117">
        <f t="shared" si="21"/>
        <v>40254</v>
      </c>
    </row>
    <row r="833" spans="1:39" s="90" customFormat="1" ht="18" customHeight="1" x14ac:dyDescent="0.3">
      <c r="A833" s="297">
        <v>548</v>
      </c>
      <c r="B833" s="11" t="s">
        <v>1240</v>
      </c>
      <c r="C833" s="88" t="s">
        <v>268</v>
      </c>
      <c r="D833" s="88" t="s">
        <v>958</v>
      </c>
      <c r="E833" s="31" t="s">
        <v>48</v>
      </c>
      <c r="F833" s="85" t="s">
        <v>49</v>
      </c>
      <c r="G833" s="375"/>
      <c r="H833" s="365">
        <v>25</v>
      </c>
      <c r="I833" s="379"/>
      <c r="J833" s="365">
        <v>4</v>
      </c>
      <c r="K833" s="120"/>
      <c r="L833" s="120"/>
      <c r="M833" s="120">
        <v>6120</v>
      </c>
      <c r="N833" s="120">
        <v>2358</v>
      </c>
      <c r="O833" s="120">
        <v>693</v>
      </c>
      <c r="P833" s="120" t="s">
        <v>207</v>
      </c>
      <c r="Q833" s="120">
        <v>455</v>
      </c>
      <c r="R833" s="120" t="s">
        <v>207</v>
      </c>
      <c r="S833" s="120">
        <v>494</v>
      </c>
      <c r="T833" s="120" t="s">
        <v>207</v>
      </c>
      <c r="U833" s="120">
        <v>604</v>
      </c>
      <c r="V833" s="120" t="s">
        <v>207</v>
      </c>
      <c r="W833" s="120">
        <v>432</v>
      </c>
      <c r="X833" s="120" t="s">
        <v>207</v>
      </c>
      <c r="Y833" s="120">
        <v>362</v>
      </c>
      <c r="Z833" s="120" t="s">
        <v>207</v>
      </c>
      <c r="AA833" s="120">
        <v>303</v>
      </c>
      <c r="AB833" s="120" t="s">
        <v>207</v>
      </c>
      <c r="AC833" s="120">
        <v>206</v>
      </c>
      <c r="AD833" s="120" t="s">
        <v>207</v>
      </c>
      <c r="AE833" s="120">
        <v>346</v>
      </c>
      <c r="AF833" s="120" t="s">
        <v>207</v>
      </c>
      <c r="AG833" s="120">
        <v>466</v>
      </c>
      <c r="AH833" s="120" t="s">
        <v>207</v>
      </c>
      <c r="AI833" s="120">
        <v>495</v>
      </c>
      <c r="AJ833" s="120" t="s">
        <v>207</v>
      </c>
      <c r="AK833" s="120">
        <v>857</v>
      </c>
      <c r="AL833" s="120" t="s">
        <v>207</v>
      </c>
      <c r="AM833" s="117">
        <f t="shared" si="21"/>
        <v>5713</v>
      </c>
    </row>
    <row r="834" spans="1:39" s="90" customFormat="1" ht="18" customHeight="1" x14ac:dyDescent="0.3">
      <c r="A834" s="114">
        <v>549</v>
      </c>
      <c r="B834" s="11" t="s">
        <v>1241</v>
      </c>
      <c r="C834" s="88" t="s">
        <v>268</v>
      </c>
      <c r="D834" s="88" t="s">
        <v>958</v>
      </c>
      <c r="E834" s="31" t="s">
        <v>48</v>
      </c>
      <c r="F834" s="85" t="s">
        <v>49</v>
      </c>
      <c r="G834" s="375"/>
      <c r="H834" s="365">
        <v>28</v>
      </c>
      <c r="I834" s="379"/>
      <c r="J834" s="365">
        <v>4</v>
      </c>
      <c r="K834" s="120"/>
      <c r="L834" s="120"/>
      <c r="M834" s="120">
        <v>13507</v>
      </c>
      <c r="N834" s="120">
        <v>11399</v>
      </c>
      <c r="O834" s="120">
        <v>1348</v>
      </c>
      <c r="P834" s="120" t="s">
        <v>207</v>
      </c>
      <c r="Q834" s="120">
        <v>1014</v>
      </c>
      <c r="R834" s="120" t="s">
        <v>207</v>
      </c>
      <c r="S834" s="120">
        <v>1300</v>
      </c>
      <c r="T834" s="120" t="s">
        <v>207</v>
      </c>
      <c r="U834" s="120">
        <v>1243</v>
      </c>
      <c r="V834" s="120" t="s">
        <v>207</v>
      </c>
      <c r="W834" s="120">
        <v>1185</v>
      </c>
      <c r="X834" s="120" t="s">
        <v>207</v>
      </c>
      <c r="Y834" s="120">
        <v>68</v>
      </c>
      <c r="Z834" s="120" t="s">
        <v>207</v>
      </c>
      <c r="AA834" s="120">
        <v>1097</v>
      </c>
      <c r="AB834" s="120" t="s">
        <v>207</v>
      </c>
      <c r="AC834" s="120">
        <v>30</v>
      </c>
      <c r="AD834" s="120" t="s">
        <v>207</v>
      </c>
      <c r="AE834" s="120">
        <v>649</v>
      </c>
      <c r="AF834" s="120" t="s">
        <v>207</v>
      </c>
      <c r="AG834" s="120">
        <v>1537</v>
      </c>
      <c r="AH834" s="120" t="s">
        <v>207</v>
      </c>
      <c r="AI834" s="120">
        <v>1156</v>
      </c>
      <c r="AJ834" s="120" t="s">
        <v>207</v>
      </c>
      <c r="AK834" s="120">
        <v>1558</v>
      </c>
      <c r="AL834" s="120" t="s">
        <v>207</v>
      </c>
      <c r="AM834" s="117">
        <f t="shared" si="21"/>
        <v>12185</v>
      </c>
    </row>
    <row r="835" spans="1:39" s="90" customFormat="1" ht="18" customHeight="1" x14ac:dyDescent="0.3">
      <c r="A835" s="114">
        <v>550</v>
      </c>
      <c r="B835" s="11" t="s">
        <v>1242</v>
      </c>
      <c r="C835" s="88" t="s">
        <v>268</v>
      </c>
      <c r="D835" s="88" t="s">
        <v>958</v>
      </c>
      <c r="E835" s="31" t="s">
        <v>48</v>
      </c>
      <c r="F835" s="85" t="s">
        <v>49</v>
      </c>
      <c r="G835" s="375"/>
      <c r="H835" s="365">
        <v>7</v>
      </c>
      <c r="I835" s="379"/>
      <c r="J835" s="365">
        <v>1</v>
      </c>
      <c r="K835" s="120"/>
      <c r="L835" s="120"/>
      <c r="M835" s="120">
        <v>2033</v>
      </c>
      <c r="N835" s="120">
        <v>2209</v>
      </c>
      <c r="O835" s="120">
        <v>268</v>
      </c>
      <c r="P835" s="120" t="s">
        <v>207</v>
      </c>
      <c r="Q835" s="120">
        <v>230</v>
      </c>
      <c r="R835" s="120" t="s">
        <v>207</v>
      </c>
      <c r="S835" s="120">
        <v>252</v>
      </c>
      <c r="T835" s="120" t="s">
        <v>207</v>
      </c>
      <c r="U835" s="120">
        <v>167</v>
      </c>
      <c r="V835" s="120" t="s">
        <v>207</v>
      </c>
      <c r="W835" s="120">
        <v>144</v>
      </c>
      <c r="X835" s="120" t="s">
        <v>207</v>
      </c>
      <c r="Y835" s="120">
        <v>206</v>
      </c>
      <c r="Z835" s="120" t="s">
        <v>207</v>
      </c>
      <c r="AA835" s="120">
        <v>236</v>
      </c>
      <c r="AB835" s="120" t="s">
        <v>207</v>
      </c>
      <c r="AC835" s="120">
        <v>123</v>
      </c>
      <c r="AD835" s="120" t="s">
        <v>207</v>
      </c>
      <c r="AE835" s="120">
        <v>184</v>
      </c>
      <c r="AF835" s="120" t="s">
        <v>207</v>
      </c>
      <c r="AG835" s="120">
        <v>182</v>
      </c>
      <c r="AH835" s="120" t="s">
        <v>207</v>
      </c>
      <c r="AI835" s="120">
        <v>141</v>
      </c>
      <c r="AJ835" s="120" t="s">
        <v>207</v>
      </c>
      <c r="AK835" s="120">
        <v>261</v>
      </c>
      <c r="AL835" s="120" t="s">
        <v>207</v>
      </c>
      <c r="AM835" s="117">
        <f t="shared" si="21"/>
        <v>2394</v>
      </c>
    </row>
    <row r="836" spans="1:39" s="90" customFormat="1" ht="18" customHeight="1" x14ac:dyDescent="0.3">
      <c r="A836" s="297">
        <v>551</v>
      </c>
      <c r="B836" s="11" t="s">
        <v>1243</v>
      </c>
      <c r="C836" s="88" t="s">
        <v>268</v>
      </c>
      <c r="D836" s="88" t="s">
        <v>958</v>
      </c>
      <c r="E836" s="31" t="s">
        <v>48</v>
      </c>
      <c r="F836" s="85" t="s">
        <v>49</v>
      </c>
      <c r="G836" s="375"/>
      <c r="H836" s="365">
        <v>7</v>
      </c>
      <c r="I836" s="379"/>
      <c r="J836" s="365">
        <v>1</v>
      </c>
      <c r="K836" s="120"/>
      <c r="L836" s="120"/>
      <c r="M836" s="120">
        <v>5293</v>
      </c>
      <c r="N836" s="120">
        <v>3298</v>
      </c>
      <c r="O836" s="120">
        <v>403</v>
      </c>
      <c r="P836" s="120" t="s">
        <v>207</v>
      </c>
      <c r="Q836" s="120">
        <v>361</v>
      </c>
      <c r="R836" s="120" t="s">
        <v>207</v>
      </c>
      <c r="S836" s="120">
        <v>251</v>
      </c>
      <c r="T836" s="120" t="s">
        <v>207</v>
      </c>
      <c r="U836" s="120">
        <v>139</v>
      </c>
      <c r="V836" s="120" t="s">
        <v>207</v>
      </c>
      <c r="W836" s="120">
        <v>302</v>
      </c>
      <c r="X836" s="120" t="s">
        <v>207</v>
      </c>
      <c r="Y836" s="120">
        <v>0</v>
      </c>
      <c r="Z836" s="120" t="s">
        <v>207</v>
      </c>
      <c r="AA836" s="120">
        <v>111</v>
      </c>
      <c r="AB836" s="120" t="s">
        <v>207</v>
      </c>
      <c r="AC836" s="120">
        <v>93</v>
      </c>
      <c r="AD836" s="120" t="s">
        <v>207</v>
      </c>
      <c r="AE836" s="120">
        <v>124</v>
      </c>
      <c r="AF836" s="120" t="s">
        <v>207</v>
      </c>
      <c r="AG836" s="120">
        <v>177</v>
      </c>
      <c r="AH836" s="120" t="s">
        <v>207</v>
      </c>
      <c r="AI836" s="120">
        <v>285</v>
      </c>
      <c r="AJ836" s="120" t="s">
        <v>207</v>
      </c>
      <c r="AK836" s="120">
        <v>333</v>
      </c>
      <c r="AL836" s="120" t="s">
        <v>207</v>
      </c>
      <c r="AM836" s="117">
        <f t="shared" si="21"/>
        <v>2579</v>
      </c>
    </row>
    <row r="837" spans="1:39" s="90" customFormat="1" ht="18" customHeight="1" x14ac:dyDescent="0.3">
      <c r="A837" s="114">
        <v>552</v>
      </c>
      <c r="B837" s="11" t="s">
        <v>1244</v>
      </c>
      <c r="C837" s="88" t="s">
        <v>268</v>
      </c>
      <c r="D837" s="88" t="s">
        <v>958</v>
      </c>
      <c r="E837" s="31" t="s">
        <v>48</v>
      </c>
      <c r="F837" s="85" t="s">
        <v>49</v>
      </c>
      <c r="G837" s="375"/>
      <c r="H837" s="365">
        <v>8</v>
      </c>
      <c r="I837" s="379"/>
      <c r="J837" s="365">
        <v>1</v>
      </c>
      <c r="K837" s="120"/>
      <c r="L837" s="120"/>
      <c r="M837" s="120">
        <v>1103</v>
      </c>
      <c r="N837" s="120">
        <v>872</v>
      </c>
      <c r="O837" s="120">
        <v>148</v>
      </c>
      <c r="P837" s="120" t="s">
        <v>207</v>
      </c>
      <c r="Q837" s="120">
        <v>118</v>
      </c>
      <c r="R837" s="120" t="s">
        <v>207</v>
      </c>
      <c r="S837" s="120">
        <v>113</v>
      </c>
      <c r="T837" s="120" t="s">
        <v>207</v>
      </c>
      <c r="U837" s="120">
        <v>93</v>
      </c>
      <c r="V837" s="120" t="s">
        <v>207</v>
      </c>
      <c r="W837" s="120">
        <v>113</v>
      </c>
      <c r="X837" s="120" t="s">
        <v>207</v>
      </c>
      <c r="Y837" s="120">
        <v>106</v>
      </c>
      <c r="Z837" s="120" t="s">
        <v>207</v>
      </c>
      <c r="AA837" s="120">
        <v>79</v>
      </c>
      <c r="AB837" s="120" t="s">
        <v>207</v>
      </c>
      <c r="AC837" s="120">
        <v>37</v>
      </c>
      <c r="AD837" s="120" t="s">
        <v>207</v>
      </c>
      <c r="AE837" s="120">
        <v>83</v>
      </c>
      <c r="AF837" s="120" t="s">
        <v>207</v>
      </c>
      <c r="AG837" s="120">
        <v>71</v>
      </c>
      <c r="AH837" s="120" t="s">
        <v>207</v>
      </c>
      <c r="AI837" s="120">
        <v>100</v>
      </c>
      <c r="AJ837" s="120" t="s">
        <v>207</v>
      </c>
      <c r="AK837" s="120">
        <v>146</v>
      </c>
      <c r="AL837" s="120" t="s">
        <v>207</v>
      </c>
      <c r="AM837" s="117">
        <f t="shared" si="21"/>
        <v>1207</v>
      </c>
    </row>
    <row r="838" spans="1:39" s="90" customFormat="1" ht="18" customHeight="1" x14ac:dyDescent="0.3">
      <c r="A838" s="114">
        <v>553</v>
      </c>
      <c r="B838" s="11" t="s">
        <v>1245</v>
      </c>
      <c r="C838" s="88" t="s">
        <v>268</v>
      </c>
      <c r="D838" s="88" t="s">
        <v>958</v>
      </c>
      <c r="E838" s="31" t="s">
        <v>48</v>
      </c>
      <c r="F838" s="85" t="s">
        <v>49</v>
      </c>
      <c r="G838" s="375"/>
      <c r="H838" s="365">
        <v>7</v>
      </c>
      <c r="I838" s="379"/>
      <c r="J838" s="365">
        <v>1</v>
      </c>
      <c r="K838" s="120"/>
      <c r="L838" s="120"/>
      <c r="M838" s="120">
        <v>6180</v>
      </c>
      <c r="N838" s="120">
        <v>5793</v>
      </c>
      <c r="O838" s="120">
        <v>854</v>
      </c>
      <c r="P838" s="120" t="s">
        <v>207</v>
      </c>
      <c r="Q838" s="120">
        <v>504</v>
      </c>
      <c r="R838" s="120" t="s">
        <v>207</v>
      </c>
      <c r="S838" s="120">
        <v>432</v>
      </c>
      <c r="T838" s="120" t="s">
        <v>207</v>
      </c>
      <c r="U838" s="120">
        <v>388</v>
      </c>
      <c r="V838" s="120" t="s">
        <v>207</v>
      </c>
      <c r="W838" s="120">
        <v>394</v>
      </c>
      <c r="X838" s="120" t="s">
        <v>207</v>
      </c>
      <c r="Y838" s="120">
        <v>478</v>
      </c>
      <c r="Z838" s="120" t="s">
        <v>207</v>
      </c>
      <c r="AA838" s="120">
        <v>299</v>
      </c>
      <c r="AB838" s="120" t="s">
        <v>207</v>
      </c>
      <c r="AC838" s="120">
        <v>132</v>
      </c>
      <c r="AD838" s="120" t="s">
        <v>207</v>
      </c>
      <c r="AE838" s="120">
        <v>496</v>
      </c>
      <c r="AF838" s="120" t="s">
        <v>207</v>
      </c>
      <c r="AG838" s="120">
        <v>341</v>
      </c>
      <c r="AH838" s="120" t="s">
        <v>207</v>
      </c>
      <c r="AI838" s="120">
        <v>287</v>
      </c>
      <c r="AJ838" s="120" t="s">
        <v>207</v>
      </c>
      <c r="AK838" s="120">
        <v>518</v>
      </c>
      <c r="AL838" s="120" t="s">
        <v>207</v>
      </c>
      <c r="AM838" s="117">
        <f t="shared" si="21"/>
        <v>5123</v>
      </c>
    </row>
    <row r="839" spans="1:39" s="90" customFormat="1" ht="18" customHeight="1" x14ac:dyDescent="0.3">
      <c r="A839" s="297">
        <v>554</v>
      </c>
      <c r="B839" s="11" t="s">
        <v>1246</v>
      </c>
      <c r="C839" s="88" t="s">
        <v>268</v>
      </c>
      <c r="D839" s="88" t="s">
        <v>958</v>
      </c>
      <c r="E839" s="31" t="s">
        <v>48</v>
      </c>
      <c r="F839" s="85" t="s">
        <v>49</v>
      </c>
      <c r="G839" s="375"/>
      <c r="H839" s="365">
        <v>7</v>
      </c>
      <c r="I839" s="379"/>
      <c r="J839" s="365">
        <v>1</v>
      </c>
      <c r="K839" s="120"/>
      <c r="L839" s="120"/>
      <c r="M839" s="120">
        <v>4318</v>
      </c>
      <c r="N839" s="120">
        <v>4048</v>
      </c>
      <c r="O839" s="120">
        <v>643</v>
      </c>
      <c r="P839" s="120" t="s">
        <v>207</v>
      </c>
      <c r="Q839" s="120">
        <v>574</v>
      </c>
      <c r="R839" s="120" t="s">
        <v>207</v>
      </c>
      <c r="S839" s="120">
        <v>416</v>
      </c>
      <c r="T839" s="120" t="s">
        <v>207</v>
      </c>
      <c r="U839" s="120">
        <v>291</v>
      </c>
      <c r="V839" s="120" t="s">
        <v>207</v>
      </c>
      <c r="W839" s="120">
        <v>252</v>
      </c>
      <c r="X839" s="120" t="s">
        <v>207</v>
      </c>
      <c r="Y839" s="120">
        <v>302</v>
      </c>
      <c r="Z839" s="120" t="s">
        <v>207</v>
      </c>
      <c r="AA839" s="120">
        <v>213</v>
      </c>
      <c r="AB839" s="120" t="s">
        <v>207</v>
      </c>
      <c r="AC839" s="120">
        <v>257</v>
      </c>
      <c r="AD839" s="120" t="s">
        <v>207</v>
      </c>
      <c r="AE839" s="120">
        <v>372</v>
      </c>
      <c r="AF839" s="120" t="s">
        <v>207</v>
      </c>
      <c r="AG839" s="120">
        <v>358</v>
      </c>
      <c r="AH839" s="120" t="s">
        <v>207</v>
      </c>
      <c r="AI839" s="120">
        <v>682</v>
      </c>
      <c r="AJ839" s="120" t="s">
        <v>207</v>
      </c>
      <c r="AK839" s="120">
        <v>1154</v>
      </c>
      <c r="AL839" s="120" t="s">
        <v>207</v>
      </c>
      <c r="AM839" s="117">
        <f t="shared" si="21"/>
        <v>5514</v>
      </c>
    </row>
    <row r="840" spans="1:39" s="90" customFormat="1" ht="18" customHeight="1" x14ac:dyDescent="0.3">
      <c r="A840" s="114">
        <v>555</v>
      </c>
      <c r="B840" s="11" t="s">
        <v>1247</v>
      </c>
      <c r="C840" s="88" t="s">
        <v>268</v>
      </c>
      <c r="D840" s="88" t="s">
        <v>958</v>
      </c>
      <c r="E840" s="31" t="s">
        <v>48</v>
      </c>
      <c r="F840" s="85" t="s">
        <v>49</v>
      </c>
      <c r="G840" s="375"/>
      <c r="H840" s="365">
        <v>7</v>
      </c>
      <c r="I840" s="379"/>
      <c r="J840" s="365">
        <v>1</v>
      </c>
      <c r="K840" s="120"/>
      <c r="L840" s="120"/>
      <c r="M840" s="120"/>
      <c r="N840" s="120"/>
      <c r="O840" s="120"/>
      <c r="P840" s="120" t="s">
        <v>207</v>
      </c>
      <c r="Q840" s="120"/>
      <c r="R840" s="120" t="s">
        <v>207</v>
      </c>
      <c r="S840" s="120"/>
      <c r="T840" s="120" t="s">
        <v>207</v>
      </c>
      <c r="U840" s="120"/>
      <c r="V840" s="120" t="s">
        <v>207</v>
      </c>
      <c r="W840" s="120"/>
      <c r="X840" s="120" t="s">
        <v>207</v>
      </c>
      <c r="Y840" s="120"/>
      <c r="Z840" s="120" t="s">
        <v>207</v>
      </c>
      <c r="AA840" s="120"/>
      <c r="AB840" s="120" t="s">
        <v>207</v>
      </c>
      <c r="AC840" s="120"/>
      <c r="AD840" s="120" t="s">
        <v>207</v>
      </c>
      <c r="AE840" s="120"/>
      <c r="AF840" s="120" t="s">
        <v>207</v>
      </c>
      <c r="AG840" s="120"/>
      <c r="AH840" s="120" t="s">
        <v>207</v>
      </c>
      <c r="AI840" s="120"/>
      <c r="AJ840" s="120" t="s">
        <v>207</v>
      </c>
      <c r="AK840" s="120"/>
      <c r="AL840" s="120" t="s">
        <v>207</v>
      </c>
      <c r="AM840" s="117">
        <f t="shared" si="21"/>
        <v>0</v>
      </c>
    </row>
    <row r="841" spans="1:39" s="90" customFormat="1" ht="18" customHeight="1" x14ac:dyDescent="0.3">
      <c r="A841" s="114">
        <v>556</v>
      </c>
      <c r="B841" s="11" t="s">
        <v>1248</v>
      </c>
      <c r="C841" s="88" t="s">
        <v>268</v>
      </c>
      <c r="D841" s="88" t="s">
        <v>958</v>
      </c>
      <c r="E841" s="31" t="s">
        <v>48</v>
      </c>
      <c r="F841" s="85" t="s">
        <v>49</v>
      </c>
      <c r="G841" s="375"/>
      <c r="H841" s="365">
        <v>7</v>
      </c>
      <c r="I841" s="379"/>
      <c r="J841" s="365">
        <v>1</v>
      </c>
      <c r="K841" s="120"/>
      <c r="L841" s="120"/>
      <c r="M841" s="120"/>
      <c r="N841" s="120"/>
      <c r="O841" s="120"/>
      <c r="P841" s="120" t="s">
        <v>207</v>
      </c>
      <c r="Q841" s="120"/>
      <c r="R841" s="120" t="s">
        <v>207</v>
      </c>
      <c r="S841" s="120"/>
      <c r="T841" s="120" t="s">
        <v>207</v>
      </c>
      <c r="U841" s="120"/>
      <c r="V841" s="120" t="s">
        <v>207</v>
      </c>
      <c r="W841" s="120"/>
      <c r="X841" s="120" t="s">
        <v>207</v>
      </c>
      <c r="Y841" s="120"/>
      <c r="Z841" s="120" t="s">
        <v>207</v>
      </c>
      <c r="AA841" s="120"/>
      <c r="AB841" s="120" t="s">
        <v>207</v>
      </c>
      <c r="AC841" s="120"/>
      <c r="AD841" s="120" t="s">
        <v>207</v>
      </c>
      <c r="AE841" s="120"/>
      <c r="AF841" s="120" t="s">
        <v>207</v>
      </c>
      <c r="AG841" s="120"/>
      <c r="AH841" s="120" t="s">
        <v>207</v>
      </c>
      <c r="AI841" s="120"/>
      <c r="AJ841" s="120" t="s">
        <v>207</v>
      </c>
      <c r="AK841" s="120"/>
      <c r="AL841" s="120" t="s">
        <v>207</v>
      </c>
      <c r="AM841" s="117">
        <f t="shared" si="21"/>
        <v>0</v>
      </c>
    </row>
    <row r="842" spans="1:39" s="90" customFormat="1" ht="18" customHeight="1" x14ac:dyDescent="0.3">
      <c r="A842" s="297">
        <v>557</v>
      </c>
      <c r="B842" s="11" t="s">
        <v>1249</v>
      </c>
      <c r="C842" s="88" t="s">
        <v>268</v>
      </c>
      <c r="D842" s="88" t="s">
        <v>958</v>
      </c>
      <c r="E842" s="31" t="s">
        <v>48</v>
      </c>
      <c r="F842" s="85" t="s">
        <v>49</v>
      </c>
      <c r="G842" s="375"/>
      <c r="H842" s="365">
        <v>7</v>
      </c>
      <c r="I842" s="379"/>
      <c r="J842" s="365">
        <v>1</v>
      </c>
      <c r="K842" s="120"/>
      <c r="L842" s="120"/>
      <c r="M842" s="120">
        <v>4184</v>
      </c>
      <c r="N842" s="120">
        <v>4181</v>
      </c>
      <c r="O842" s="120">
        <v>580</v>
      </c>
      <c r="P842" s="120" t="s">
        <v>207</v>
      </c>
      <c r="Q842" s="120">
        <v>335</v>
      </c>
      <c r="R842" s="120" t="s">
        <v>207</v>
      </c>
      <c r="S842" s="120">
        <v>682</v>
      </c>
      <c r="T842" s="120" t="s">
        <v>207</v>
      </c>
      <c r="U842" s="120">
        <v>184</v>
      </c>
      <c r="V842" s="120" t="s">
        <v>207</v>
      </c>
      <c r="W842" s="120">
        <v>258</v>
      </c>
      <c r="X842" s="120" t="s">
        <v>207</v>
      </c>
      <c r="Y842" s="120">
        <v>309</v>
      </c>
      <c r="Z842" s="120" t="s">
        <v>207</v>
      </c>
      <c r="AA842" s="120">
        <v>269</v>
      </c>
      <c r="AB842" s="120" t="s">
        <v>207</v>
      </c>
      <c r="AC842" s="120">
        <v>251</v>
      </c>
      <c r="AD842" s="120" t="s">
        <v>207</v>
      </c>
      <c r="AE842" s="120">
        <v>305</v>
      </c>
      <c r="AF842" s="120" t="s">
        <v>207</v>
      </c>
      <c r="AG842" s="120">
        <v>295</v>
      </c>
      <c r="AH842" s="120" t="s">
        <v>207</v>
      </c>
      <c r="AI842" s="120">
        <v>363</v>
      </c>
      <c r="AJ842" s="120" t="s">
        <v>207</v>
      </c>
      <c r="AK842" s="120">
        <v>502</v>
      </c>
      <c r="AL842" s="120" t="s">
        <v>207</v>
      </c>
      <c r="AM842" s="117">
        <f t="shared" si="21"/>
        <v>4333</v>
      </c>
    </row>
    <row r="843" spans="1:39" s="90" customFormat="1" ht="18" customHeight="1" x14ac:dyDescent="0.3">
      <c r="A843" s="114">
        <v>558</v>
      </c>
      <c r="B843" s="11" t="s">
        <v>1250</v>
      </c>
      <c r="C843" s="88" t="s">
        <v>268</v>
      </c>
      <c r="D843" s="88" t="s">
        <v>958</v>
      </c>
      <c r="E843" s="31" t="s">
        <v>48</v>
      </c>
      <c r="F843" s="85" t="s">
        <v>49</v>
      </c>
      <c r="G843" s="375"/>
      <c r="H843" s="365">
        <v>7</v>
      </c>
      <c r="I843" s="379"/>
      <c r="J843" s="365">
        <v>1</v>
      </c>
      <c r="K843" s="120"/>
      <c r="L843" s="120"/>
      <c r="M843" s="120"/>
      <c r="N843" s="120"/>
      <c r="O843" s="120"/>
      <c r="P843" s="120" t="s">
        <v>207</v>
      </c>
      <c r="Q843" s="120"/>
      <c r="R843" s="120" t="s">
        <v>207</v>
      </c>
      <c r="S843" s="120"/>
      <c r="T843" s="120" t="s">
        <v>207</v>
      </c>
      <c r="U843" s="120"/>
      <c r="V843" s="120" t="s">
        <v>207</v>
      </c>
      <c r="W843" s="120"/>
      <c r="X843" s="120" t="s">
        <v>207</v>
      </c>
      <c r="Y843" s="120"/>
      <c r="Z843" s="120" t="s">
        <v>207</v>
      </c>
      <c r="AA843" s="120"/>
      <c r="AB843" s="120" t="s">
        <v>207</v>
      </c>
      <c r="AC843" s="120"/>
      <c r="AD843" s="120" t="s">
        <v>207</v>
      </c>
      <c r="AE843" s="120"/>
      <c r="AF843" s="120" t="s">
        <v>207</v>
      </c>
      <c r="AG843" s="120"/>
      <c r="AH843" s="120" t="s">
        <v>207</v>
      </c>
      <c r="AI843" s="120"/>
      <c r="AJ843" s="120" t="s">
        <v>207</v>
      </c>
      <c r="AK843" s="120"/>
      <c r="AL843" s="120" t="s">
        <v>207</v>
      </c>
      <c r="AM843" s="117">
        <f t="shared" si="21"/>
        <v>0</v>
      </c>
    </row>
    <row r="844" spans="1:39" s="90" customFormat="1" ht="18" customHeight="1" x14ac:dyDescent="0.3">
      <c r="A844" s="114">
        <v>559</v>
      </c>
      <c r="B844" s="11" t="s">
        <v>1251</v>
      </c>
      <c r="C844" s="88" t="s">
        <v>268</v>
      </c>
      <c r="D844" s="88" t="s">
        <v>958</v>
      </c>
      <c r="E844" s="31" t="s">
        <v>48</v>
      </c>
      <c r="F844" s="85" t="s">
        <v>49</v>
      </c>
      <c r="G844" s="375"/>
      <c r="H844" s="365">
        <v>7</v>
      </c>
      <c r="I844" s="379"/>
      <c r="J844" s="365">
        <v>2</v>
      </c>
      <c r="K844" s="120"/>
      <c r="L844" s="120"/>
      <c r="M844" s="120"/>
      <c r="N844" s="120"/>
      <c r="O844" s="120"/>
      <c r="P844" s="120" t="s">
        <v>207</v>
      </c>
      <c r="Q844" s="120"/>
      <c r="R844" s="120" t="s">
        <v>207</v>
      </c>
      <c r="S844" s="120"/>
      <c r="T844" s="120" t="s">
        <v>207</v>
      </c>
      <c r="U844" s="120"/>
      <c r="V844" s="120" t="s">
        <v>207</v>
      </c>
      <c r="W844" s="120"/>
      <c r="X844" s="120" t="s">
        <v>207</v>
      </c>
      <c r="Y844" s="120"/>
      <c r="Z844" s="120" t="s">
        <v>207</v>
      </c>
      <c r="AA844" s="120"/>
      <c r="AB844" s="120" t="s">
        <v>207</v>
      </c>
      <c r="AC844" s="120"/>
      <c r="AD844" s="120" t="s">
        <v>207</v>
      </c>
      <c r="AE844" s="120"/>
      <c r="AF844" s="120" t="s">
        <v>207</v>
      </c>
      <c r="AG844" s="120"/>
      <c r="AH844" s="120" t="s">
        <v>207</v>
      </c>
      <c r="AI844" s="120"/>
      <c r="AJ844" s="120" t="s">
        <v>207</v>
      </c>
      <c r="AK844" s="120"/>
      <c r="AL844" s="120" t="s">
        <v>207</v>
      </c>
      <c r="AM844" s="117">
        <f t="shared" si="21"/>
        <v>0</v>
      </c>
    </row>
    <row r="845" spans="1:39" s="90" customFormat="1" ht="18" customHeight="1" x14ac:dyDescent="0.3">
      <c r="A845" s="297">
        <v>560</v>
      </c>
      <c r="B845" s="11" t="s">
        <v>1252</v>
      </c>
      <c r="C845" s="88" t="s">
        <v>268</v>
      </c>
      <c r="D845" s="88" t="s">
        <v>958</v>
      </c>
      <c r="E845" s="31" t="s">
        <v>48</v>
      </c>
      <c r="F845" s="85" t="s">
        <v>49</v>
      </c>
      <c r="G845" s="375"/>
      <c r="H845" s="365">
        <v>7</v>
      </c>
      <c r="I845" s="379"/>
      <c r="J845" s="365">
        <v>1</v>
      </c>
      <c r="K845" s="120"/>
      <c r="L845" s="120"/>
      <c r="M845" s="120">
        <v>5149</v>
      </c>
      <c r="N845" s="120">
        <v>2463</v>
      </c>
      <c r="O845" s="120">
        <v>554</v>
      </c>
      <c r="P845" s="120" t="s">
        <v>207</v>
      </c>
      <c r="Q845" s="120">
        <v>472</v>
      </c>
      <c r="R845" s="120" t="s">
        <v>207</v>
      </c>
      <c r="S845" s="120">
        <v>514</v>
      </c>
      <c r="T845" s="120" t="s">
        <v>207</v>
      </c>
      <c r="U845" s="120">
        <v>343</v>
      </c>
      <c r="V845" s="120" t="s">
        <v>207</v>
      </c>
      <c r="W845" s="120">
        <v>259</v>
      </c>
      <c r="X845" s="120" t="s">
        <v>207</v>
      </c>
      <c r="Y845" s="120">
        <v>226</v>
      </c>
      <c r="Z845" s="120" t="s">
        <v>207</v>
      </c>
      <c r="AA845" s="120">
        <v>203</v>
      </c>
      <c r="AB845" s="120" t="s">
        <v>207</v>
      </c>
      <c r="AC845" s="120">
        <v>149</v>
      </c>
      <c r="AD845" s="120" t="s">
        <v>207</v>
      </c>
      <c r="AE845" s="120">
        <v>329</v>
      </c>
      <c r="AF845" s="120" t="s">
        <v>207</v>
      </c>
      <c r="AG845" s="120">
        <v>227</v>
      </c>
      <c r="AH845" s="120" t="s">
        <v>207</v>
      </c>
      <c r="AI845" s="120">
        <v>722</v>
      </c>
      <c r="AJ845" s="120" t="s">
        <v>207</v>
      </c>
      <c r="AK845" s="120">
        <v>603</v>
      </c>
      <c r="AL845" s="120" t="s">
        <v>207</v>
      </c>
      <c r="AM845" s="117">
        <f t="shared" si="21"/>
        <v>4601</v>
      </c>
    </row>
    <row r="846" spans="1:39" s="90" customFormat="1" ht="18" customHeight="1" x14ac:dyDescent="0.3">
      <c r="A846" s="114">
        <v>561</v>
      </c>
      <c r="B846" s="11" t="s">
        <v>1253</v>
      </c>
      <c r="C846" s="88" t="s">
        <v>268</v>
      </c>
      <c r="D846" s="88" t="s">
        <v>958</v>
      </c>
      <c r="E846" s="31" t="s">
        <v>48</v>
      </c>
      <c r="F846" s="85" t="s">
        <v>49</v>
      </c>
      <c r="G846" s="375"/>
      <c r="H846" s="365">
        <v>7</v>
      </c>
      <c r="I846" s="379"/>
      <c r="J846" s="365">
        <v>1</v>
      </c>
      <c r="K846" s="120"/>
      <c r="L846" s="120"/>
      <c r="M846" s="120">
        <v>3221</v>
      </c>
      <c r="N846" s="120">
        <v>3213</v>
      </c>
      <c r="O846" s="120">
        <v>304</v>
      </c>
      <c r="P846" s="120" t="s">
        <v>207</v>
      </c>
      <c r="Q846" s="120">
        <v>326</v>
      </c>
      <c r="R846" s="120" t="s">
        <v>207</v>
      </c>
      <c r="S846" s="120">
        <v>207</v>
      </c>
      <c r="T846" s="120" t="s">
        <v>207</v>
      </c>
      <c r="U846" s="120">
        <v>242</v>
      </c>
      <c r="V846" s="120" t="s">
        <v>207</v>
      </c>
      <c r="W846" s="120">
        <v>205</v>
      </c>
      <c r="X846" s="120" t="s">
        <v>207</v>
      </c>
      <c r="Y846" s="120">
        <v>162</v>
      </c>
      <c r="Z846" s="120" t="s">
        <v>207</v>
      </c>
      <c r="AA846" s="120">
        <v>174</v>
      </c>
      <c r="AB846" s="120" t="s">
        <v>207</v>
      </c>
      <c r="AC846" s="120">
        <v>180</v>
      </c>
      <c r="AD846" s="120" t="s">
        <v>207</v>
      </c>
      <c r="AE846" s="120">
        <v>307</v>
      </c>
      <c r="AF846" s="120" t="s">
        <v>207</v>
      </c>
      <c r="AG846" s="120">
        <v>156</v>
      </c>
      <c r="AH846" s="120" t="s">
        <v>207</v>
      </c>
      <c r="AI846" s="120">
        <v>165</v>
      </c>
      <c r="AJ846" s="120" t="s">
        <v>207</v>
      </c>
      <c r="AK846" s="120">
        <v>466</v>
      </c>
      <c r="AL846" s="120" t="s">
        <v>207</v>
      </c>
      <c r="AM846" s="117">
        <f t="shared" si="21"/>
        <v>2894</v>
      </c>
    </row>
    <row r="847" spans="1:39" s="90" customFormat="1" ht="18" customHeight="1" x14ac:dyDescent="0.3">
      <c r="A847" s="114">
        <v>562</v>
      </c>
      <c r="B847" s="11" t="s">
        <v>1254</v>
      </c>
      <c r="C847" s="88" t="s">
        <v>268</v>
      </c>
      <c r="D847" s="88" t="s">
        <v>958</v>
      </c>
      <c r="E847" s="31" t="s">
        <v>48</v>
      </c>
      <c r="F847" s="85" t="s">
        <v>49</v>
      </c>
      <c r="G847" s="375"/>
      <c r="H847" s="365">
        <v>14</v>
      </c>
      <c r="I847" s="379"/>
      <c r="J847" s="365">
        <v>3</v>
      </c>
      <c r="K847" s="120"/>
      <c r="L847" s="120"/>
      <c r="M847" s="120">
        <v>5087</v>
      </c>
      <c r="N847" s="120">
        <v>3312</v>
      </c>
      <c r="O847" s="120">
        <v>372</v>
      </c>
      <c r="P847" s="120" t="s">
        <v>207</v>
      </c>
      <c r="Q847" s="120">
        <v>336</v>
      </c>
      <c r="R847" s="120" t="s">
        <v>207</v>
      </c>
      <c r="S847" s="120">
        <v>372</v>
      </c>
      <c r="T847" s="120" t="s">
        <v>207</v>
      </c>
      <c r="U847" s="120">
        <v>360</v>
      </c>
      <c r="V847" s="120" t="s">
        <v>207</v>
      </c>
      <c r="W847" s="120">
        <v>372</v>
      </c>
      <c r="X847" s="120" t="s">
        <v>207</v>
      </c>
      <c r="Y847" s="120">
        <v>360</v>
      </c>
      <c r="Z847" s="120" t="s">
        <v>207</v>
      </c>
      <c r="AA847" s="120">
        <v>372</v>
      </c>
      <c r="AB847" s="120" t="s">
        <v>207</v>
      </c>
      <c r="AC847" s="120">
        <v>372</v>
      </c>
      <c r="AD847" s="120" t="s">
        <v>207</v>
      </c>
      <c r="AE847" s="120">
        <v>360</v>
      </c>
      <c r="AF847" s="120" t="s">
        <v>207</v>
      </c>
      <c r="AG847" s="120">
        <v>372</v>
      </c>
      <c r="AH847" s="120" t="s">
        <v>207</v>
      </c>
      <c r="AI847" s="120">
        <v>360</v>
      </c>
      <c r="AJ847" s="120" t="s">
        <v>207</v>
      </c>
      <c r="AK847" s="120">
        <v>372</v>
      </c>
      <c r="AL847" s="120" t="s">
        <v>207</v>
      </c>
      <c r="AM847" s="117">
        <f t="shared" si="21"/>
        <v>4380</v>
      </c>
    </row>
    <row r="848" spans="1:39" s="90" customFormat="1" ht="18" customHeight="1" x14ac:dyDescent="0.3">
      <c r="A848" s="297">
        <v>563</v>
      </c>
      <c r="B848" s="11" t="s">
        <v>1255</v>
      </c>
      <c r="C848" s="88" t="s">
        <v>268</v>
      </c>
      <c r="D848" s="88" t="s">
        <v>958</v>
      </c>
      <c r="E848" s="31" t="s">
        <v>48</v>
      </c>
      <c r="F848" s="85" t="s">
        <v>49</v>
      </c>
      <c r="G848" s="375"/>
      <c r="H848" s="365">
        <v>18</v>
      </c>
      <c r="I848" s="379"/>
      <c r="J848" s="365">
        <v>3</v>
      </c>
      <c r="K848" s="120"/>
      <c r="L848" s="120"/>
      <c r="M848" s="120">
        <v>13418</v>
      </c>
      <c r="N848" s="120">
        <v>9068</v>
      </c>
      <c r="O848" s="120">
        <v>1296</v>
      </c>
      <c r="P848" s="120" t="s">
        <v>207</v>
      </c>
      <c r="Q848" s="120">
        <v>1344</v>
      </c>
      <c r="R848" s="120" t="s">
        <v>207</v>
      </c>
      <c r="S848" s="120">
        <v>1293</v>
      </c>
      <c r="T848" s="120" t="s">
        <v>207</v>
      </c>
      <c r="U848" s="120">
        <v>915</v>
      </c>
      <c r="V848" s="120" t="s">
        <v>207</v>
      </c>
      <c r="W848" s="120">
        <v>1145</v>
      </c>
      <c r="X848" s="120" t="s">
        <v>207</v>
      </c>
      <c r="Y848" s="120">
        <v>1299</v>
      </c>
      <c r="Z848" s="120" t="s">
        <v>207</v>
      </c>
      <c r="AA848" s="120">
        <v>1056</v>
      </c>
      <c r="AB848" s="120" t="s">
        <v>207</v>
      </c>
      <c r="AC848" s="120">
        <v>234</v>
      </c>
      <c r="AD848" s="120" t="s">
        <v>207</v>
      </c>
      <c r="AE848" s="120">
        <v>924</v>
      </c>
      <c r="AF848" s="120" t="s">
        <v>207</v>
      </c>
      <c r="AG848" s="120">
        <v>1025</v>
      </c>
      <c r="AH848" s="120" t="s">
        <v>207</v>
      </c>
      <c r="AI848" s="120">
        <v>1137</v>
      </c>
      <c r="AJ848" s="120" t="s">
        <v>207</v>
      </c>
      <c r="AK848" s="120">
        <v>1612</v>
      </c>
      <c r="AL848" s="120" t="s">
        <v>207</v>
      </c>
      <c r="AM848" s="117">
        <f t="shared" si="21"/>
        <v>13280</v>
      </c>
    </row>
    <row r="849" spans="1:39" s="90" customFormat="1" ht="18" customHeight="1" x14ac:dyDescent="0.3">
      <c r="A849" s="114">
        <v>564</v>
      </c>
      <c r="B849" s="11" t="s">
        <v>1256</v>
      </c>
      <c r="C849" s="88" t="s">
        <v>268</v>
      </c>
      <c r="D849" s="88" t="s">
        <v>958</v>
      </c>
      <c r="E849" s="31" t="s">
        <v>48</v>
      </c>
      <c r="F849" s="85" t="s">
        <v>49</v>
      </c>
      <c r="G849" s="375"/>
      <c r="H849" s="365">
        <v>17</v>
      </c>
      <c r="I849" s="379"/>
      <c r="J849" s="365">
        <v>3</v>
      </c>
      <c r="K849" s="120"/>
      <c r="L849" s="120"/>
      <c r="M849" s="120">
        <v>3553</v>
      </c>
      <c r="N849" s="120">
        <v>3986</v>
      </c>
      <c r="O849" s="120">
        <v>372</v>
      </c>
      <c r="P849" s="120" t="s">
        <v>207</v>
      </c>
      <c r="Q849" s="120">
        <v>296</v>
      </c>
      <c r="R849" s="120" t="s">
        <v>207</v>
      </c>
      <c r="S849" s="120">
        <v>408</v>
      </c>
      <c r="T849" s="120" t="s">
        <v>207</v>
      </c>
      <c r="U849" s="120">
        <v>411</v>
      </c>
      <c r="V849" s="120" t="s">
        <v>207</v>
      </c>
      <c r="W849" s="120">
        <v>362</v>
      </c>
      <c r="X849" s="120" t="s">
        <v>207</v>
      </c>
      <c r="Y849" s="120">
        <v>341</v>
      </c>
      <c r="Z849" s="120" t="s">
        <v>207</v>
      </c>
      <c r="AA849" s="120">
        <v>261</v>
      </c>
      <c r="AB849" s="120" t="s">
        <v>207</v>
      </c>
      <c r="AC849" s="120">
        <v>203</v>
      </c>
      <c r="AD849" s="120" t="s">
        <v>207</v>
      </c>
      <c r="AE849" s="120">
        <v>207</v>
      </c>
      <c r="AF849" s="120" t="s">
        <v>207</v>
      </c>
      <c r="AG849" s="120">
        <v>242</v>
      </c>
      <c r="AH849" s="120" t="s">
        <v>207</v>
      </c>
      <c r="AI849" s="120">
        <v>337</v>
      </c>
      <c r="AJ849" s="120" t="s">
        <v>207</v>
      </c>
      <c r="AK849" s="120">
        <v>446</v>
      </c>
      <c r="AL849" s="120" t="s">
        <v>207</v>
      </c>
      <c r="AM849" s="117">
        <f t="shared" si="21"/>
        <v>3886</v>
      </c>
    </row>
    <row r="850" spans="1:39" s="90" customFormat="1" ht="18" customHeight="1" x14ac:dyDescent="0.3">
      <c r="A850" s="114">
        <v>565</v>
      </c>
      <c r="B850" s="11" t="s">
        <v>1257</v>
      </c>
      <c r="C850" s="88" t="s">
        <v>268</v>
      </c>
      <c r="D850" s="88" t="s">
        <v>958</v>
      </c>
      <c r="E850" s="31" t="s">
        <v>48</v>
      </c>
      <c r="F850" s="85" t="s">
        <v>49</v>
      </c>
      <c r="G850" s="375"/>
      <c r="H850" s="365">
        <v>18</v>
      </c>
      <c r="I850" s="379"/>
      <c r="J850" s="365">
        <v>3</v>
      </c>
      <c r="K850" s="120"/>
      <c r="L850" s="120"/>
      <c r="M850" s="120">
        <v>8834</v>
      </c>
      <c r="N850" s="120">
        <v>5543</v>
      </c>
      <c r="O850" s="120">
        <v>663</v>
      </c>
      <c r="P850" s="120" t="s">
        <v>207</v>
      </c>
      <c r="Q850" s="120">
        <v>637</v>
      </c>
      <c r="R850" s="120" t="s">
        <v>207</v>
      </c>
      <c r="S850" s="120">
        <v>741</v>
      </c>
      <c r="T850" s="120" t="s">
        <v>207</v>
      </c>
      <c r="U850" s="120">
        <v>498</v>
      </c>
      <c r="V850" s="120" t="s">
        <v>207</v>
      </c>
      <c r="W850" s="120">
        <v>183</v>
      </c>
      <c r="X850" s="120" t="s">
        <v>207</v>
      </c>
      <c r="Y850" s="120">
        <v>629</v>
      </c>
      <c r="Z850" s="120" t="s">
        <v>207</v>
      </c>
      <c r="AA850" s="120">
        <v>381</v>
      </c>
      <c r="AB850" s="120" t="s">
        <v>207</v>
      </c>
      <c r="AC850" s="120">
        <v>165</v>
      </c>
      <c r="AD850" s="120" t="s">
        <v>207</v>
      </c>
      <c r="AE850" s="120">
        <v>329</v>
      </c>
      <c r="AF850" s="120" t="s">
        <v>207</v>
      </c>
      <c r="AG850" s="120">
        <v>418</v>
      </c>
      <c r="AH850" s="120" t="s">
        <v>207</v>
      </c>
      <c r="AI850" s="120">
        <v>525</v>
      </c>
      <c r="AJ850" s="120" t="s">
        <v>207</v>
      </c>
      <c r="AK850" s="120">
        <v>791</v>
      </c>
      <c r="AL850" s="120" t="s">
        <v>207</v>
      </c>
      <c r="AM850" s="117">
        <f t="shared" si="21"/>
        <v>5960</v>
      </c>
    </row>
    <row r="851" spans="1:39" s="90" customFormat="1" ht="18" customHeight="1" x14ac:dyDescent="0.3">
      <c r="A851" s="297">
        <v>566</v>
      </c>
      <c r="B851" s="11" t="s">
        <v>1258</v>
      </c>
      <c r="C851" s="88" t="s">
        <v>268</v>
      </c>
      <c r="D851" s="88" t="s">
        <v>958</v>
      </c>
      <c r="E851" s="31" t="s">
        <v>48</v>
      </c>
      <c r="F851" s="85" t="s">
        <v>49</v>
      </c>
      <c r="G851" s="375"/>
      <c r="H851" s="365">
        <v>18</v>
      </c>
      <c r="I851" s="379"/>
      <c r="J851" s="365">
        <v>3</v>
      </c>
      <c r="K851" s="120"/>
      <c r="L851" s="120"/>
      <c r="M851" s="120">
        <v>3754</v>
      </c>
      <c r="N851" s="120">
        <v>3227</v>
      </c>
      <c r="O851" s="120">
        <v>363</v>
      </c>
      <c r="P851" s="120" t="s">
        <v>207</v>
      </c>
      <c r="Q851" s="120">
        <v>307</v>
      </c>
      <c r="R851" s="120" t="s">
        <v>207</v>
      </c>
      <c r="S851" s="120">
        <v>296</v>
      </c>
      <c r="T851" s="120" t="s">
        <v>207</v>
      </c>
      <c r="U851" s="120">
        <v>236</v>
      </c>
      <c r="V851" s="120" t="s">
        <v>207</v>
      </c>
      <c r="W851" s="120">
        <v>170</v>
      </c>
      <c r="X851" s="120" t="s">
        <v>207</v>
      </c>
      <c r="Y851" s="120">
        <v>136</v>
      </c>
      <c r="Z851" s="120" t="s">
        <v>207</v>
      </c>
      <c r="AA851" s="120">
        <v>123</v>
      </c>
      <c r="AB851" s="120" t="s">
        <v>207</v>
      </c>
      <c r="AC851" s="120">
        <v>128</v>
      </c>
      <c r="AD851" s="120" t="s">
        <v>207</v>
      </c>
      <c r="AE851" s="120">
        <v>323</v>
      </c>
      <c r="AF851" s="120" t="s">
        <v>207</v>
      </c>
      <c r="AG851" s="120">
        <v>335</v>
      </c>
      <c r="AH851" s="120" t="s">
        <v>207</v>
      </c>
      <c r="AI851" s="120">
        <v>335</v>
      </c>
      <c r="AJ851" s="120" t="s">
        <v>207</v>
      </c>
      <c r="AK851" s="120">
        <v>418</v>
      </c>
      <c r="AL851" s="120" t="s">
        <v>207</v>
      </c>
      <c r="AM851" s="117">
        <f t="shared" si="21"/>
        <v>3170</v>
      </c>
    </row>
    <row r="852" spans="1:39" s="90" customFormat="1" ht="18" customHeight="1" x14ac:dyDescent="0.3">
      <c r="A852" s="114">
        <v>567</v>
      </c>
      <c r="B852" s="11" t="s">
        <v>1259</v>
      </c>
      <c r="C852" s="88" t="s">
        <v>268</v>
      </c>
      <c r="D852" s="88" t="s">
        <v>958</v>
      </c>
      <c r="E852" s="31" t="s">
        <v>48</v>
      </c>
      <c r="F852" s="85" t="s">
        <v>49</v>
      </c>
      <c r="G852" s="375"/>
      <c r="H852" s="365">
        <v>6</v>
      </c>
      <c r="I852" s="379"/>
      <c r="J852" s="365">
        <v>1</v>
      </c>
      <c r="K852" s="120"/>
      <c r="L852" s="120"/>
      <c r="M852" s="120">
        <v>1705</v>
      </c>
      <c r="N852" s="120">
        <v>1436</v>
      </c>
      <c r="O852" s="120">
        <v>139</v>
      </c>
      <c r="P852" s="120" t="s">
        <v>207</v>
      </c>
      <c r="Q852" s="120">
        <v>120</v>
      </c>
      <c r="R852" s="120" t="s">
        <v>207</v>
      </c>
      <c r="S852" s="120">
        <v>75</v>
      </c>
      <c r="T852" s="120" t="s">
        <v>207</v>
      </c>
      <c r="U852" s="120">
        <v>97</v>
      </c>
      <c r="V852" s="120" t="s">
        <v>207</v>
      </c>
      <c r="W852" s="120">
        <v>35</v>
      </c>
      <c r="X852" s="120" t="s">
        <v>207</v>
      </c>
      <c r="Y852" s="120">
        <v>27</v>
      </c>
      <c r="Z852" s="120" t="s">
        <v>207</v>
      </c>
      <c r="AA852" s="120">
        <v>1</v>
      </c>
      <c r="AB852" s="120" t="s">
        <v>207</v>
      </c>
      <c r="AC852" s="120">
        <v>0</v>
      </c>
      <c r="AD852" s="120" t="s">
        <v>207</v>
      </c>
      <c r="AE852" s="120">
        <v>80</v>
      </c>
      <c r="AF852" s="120" t="s">
        <v>207</v>
      </c>
      <c r="AG852" s="120">
        <v>43</v>
      </c>
      <c r="AH852" s="120" t="s">
        <v>207</v>
      </c>
      <c r="AI852" s="120">
        <v>100</v>
      </c>
      <c r="AJ852" s="120" t="s">
        <v>207</v>
      </c>
      <c r="AK852" s="120">
        <v>132</v>
      </c>
      <c r="AL852" s="120" t="s">
        <v>207</v>
      </c>
      <c r="AM852" s="117">
        <f t="shared" si="21"/>
        <v>849</v>
      </c>
    </row>
    <row r="853" spans="1:39" s="90" customFormat="1" ht="18" customHeight="1" x14ac:dyDescent="0.3">
      <c r="A853" s="114">
        <v>568</v>
      </c>
      <c r="B853" s="11" t="s">
        <v>1260</v>
      </c>
      <c r="C853" s="88" t="s">
        <v>268</v>
      </c>
      <c r="D853" s="88" t="s">
        <v>958</v>
      </c>
      <c r="E853" s="31" t="s">
        <v>48</v>
      </c>
      <c r="F853" s="85" t="s">
        <v>49</v>
      </c>
      <c r="G853" s="375"/>
      <c r="H853" s="365">
        <v>7</v>
      </c>
      <c r="I853" s="379"/>
      <c r="J853" s="365">
        <v>1</v>
      </c>
      <c r="K853" s="120"/>
      <c r="L853" s="120"/>
      <c r="M853" s="120">
        <v>18091</v>
      </c>
      <c r="N853" s="120">
        <v>16970</v>
      </c>
      <c r="O853" s="120">
        <v>2319</v>
      </c>
      <c r="P853" s="120" t="s">
        <v>207</v>
      </c>
      <c r="Q853" s="120">
        <v>1410</v>
      </c>
      <c r="R853" s="120" t="s">
        <v>207</v>
      </c>
      <c r="S853" s="120">
        <v>1917</v>
      </c>
      <c r="T853" s="120" t="s">
        <v>207</v>
      </c>
      <c r="U853" s="120">
        <v>1269</v>
      </c>
      <c r="V853" s="120" t="s">
        <v>207</v>
      </c>
      <c r="W853" s="120">
        <v>1260</v>
      </c>
      <c r="X853" s="120" t="s">
        <v>207</v>
      </c>
      <c r="Y853" s="120">
        <v>1643</v>
      </c>
      <c r="Z853" s="120" t="s">
        <v>207</v>
      </c>
      <c r="AA853" s="120">
        <v>1186</v>
      </c>
      <c r="AB853" s="120" t="s">
        <v>207</v>
      </c>
      <c r="AC853" s="120">
        <v>1211</v>
      </c>
      <c r="AD853" s="120" t="s">
        <v>207</v>
      </c>
      <c r="AE853" s="120">
        <v>1135</v>
      </c>
      <c r="AF853" s="120" t="s">
        <v>207</v>
      </c>
      <c r="AG853" s="120">
        <v>1458</v>
      </c>
      <c r="AH853" s="120" t="s">
        <v>207</v>
      </c>
      <c r="AI853" s="120">
        <v>1478</v>
      </c>
      <c r="AJ853" s="120" t="s">
        <v>207</v>
      </c>
      <c r="AK853" s="120">
        <v>1952</v>
      </c>
      <c r="AL853" s="120" t="s">
        <v>207</v>
      </c>
      <c r="AM853" s="117">
        <f t="shared" si="21"/>
        <v>18238</v>
      </c>
    </row>
    <row r="854" spans="1:39" s="90" customFormat="1" ht="18" customHeight="1" x14ac:dyDescent="0.3">
      <c r="A854" s="297">
        <v>569</v>
      </c>
      <c r="B854" s="11" t="s">
        <v>1261</v>
      </c>
      <c r="C854" s="88" t="s">
        <v>268</v>
      </c>
      <c r="D854" s="88" t="s">
        <v>958</v>
      </c>
      <c r="E854" s="31" t="s">
        <v>48</v>
      </c>
      <c r="F854" s="85" t="s">
        <v>49</v>
      </c>
      <c r="G854" s="375"/>
      <c r="H854" s="365">
        <v>6</v>
      </c>
      <c r="I854" s="379"/>
      <c r="J854" s="365">
        <v>1</v>
      </c>
      <c r="K854" s="120"/>
      <c r="L854" s="120"/>
      <c r="M854" s="120">
        <v>14691</v>
      </c>
      <c r="N854" s="120">
        <v>12511</v>
      </c>
      <c r="O854" s="120">
        <v>1659</v>
      </c>
      <c r="P854" s="120" t="s">
        <v>207</v>
      </c>
      <c r="Q854" s="120">
        <v>1313</v>
      </c>
      <c r="R854" s="120" t="s">
        <v>207</v>
      </c>
      <c r="S854" s="120">
        <v>960</v>
      </c>
      <c r="T854" s="120" t="s">
        <v>207</v>
      </c>
      <c r="U854" s="120">
        <v>842</v>
      </c>
      <c r="V854" s="120" t="s">
        <v>207</v>
      </c>
      <c r="W854" s="120">
        <v>400</v>
      </c>
      <c r="X854" s="120" t="s">
        <v>207</v>
      </c>
      <c r="Y854" s="120">
        <v>447</v>
      </c>
      <c r="Z854" s="120" t="s">
        <v>207</v>
      </c>
      <c r="AA854" s="120">
        <v>493</v>
      </c>
      <c r="AB854" s="120" t="s">
        <v>207</v>
      </c>
      <c r="AC854" s="120">
        <v>296</v>
      </c>
      <c r="AD854" s="120" t="s">
        <v>207</v>
      </c>
      <c r="AE854" s="120">
        <v>1150</v>
      </c>
      <c r="AF854" s="120" t="s">
        <v>207</v>
      </c>
      <c r="AG854" s="120">
        <v>696</v>
      </c>
      <c r="AH854" s="120" t="s">
        <v>207</v>
      </c>
      <c r="AI854" s="120">
        <v>946</v>
      </c>
      <c r="AJ854" s="120" t="s">
        <v>207</v>
      </c>
      <c r="AK854" s="120">
        <v>2185</v>
      </c>
      <c r="AL854" s="120" t="s">
        <v>207</v>
      </c>
      <c r="AM854" s="117">
        <f t="shared" si="21"/>
        <v>11387</v>
      </c>
    </row>
    <row r="855" spans="1:39" s="90" customFormat="1" ht="18" customHeight="1" x14ac:dyDescent="0.3">
      <c r="A855" s="114">
        <v>570</v>
      </c>
      <c r="B855" s="11" t="s">
        <v>1262</v>
      </c>
      <c r="C855" s="88" t="s">
        <v>268</v>
      </c>
      <c r="D855" s="88" t="s">
        <v>958</v>
      </c>
      <c r="E855" s="31" t="s">
        <v>48</v>
      </c>
      <c r="F855" s="85" t="s">
        <v>49</v>
      </c>
      <c r="G855" s="375"/>
      <c r="H855" s="365">
        <v>6</v>
      </c>
      <c r="I855" s="379"/>
      <c r="J855" s="365">
        <v>1</v>
      </c>
      <c r="K855" s="120"/>
      <c r="L855" s="120"/>
      <c r="M855" s="120">
        <v>2561</v>
      </c>
      <c r="N855" s="120">
        <v>2523</v>
      </c>
      <c r="O855" s="120">
        <v>498</v>
      </c>
      <c r="P855" s="120" t="s">
        <v>207</v>
      </c>
      <c r="Q855" s="120">
        <v>534</v>
      </c>
      <c r="R855" s="120" t="s">
        <v>207</v>
      </c>
      <c r="S855" s="120">
        <v>347</v>
      </c>
      <c r="T855" s="120" t="s">
        <v>207</v>
      </c>
      <c r="U855" s="120">
        <v>326</v>
      </c>
      <c r="V855" s="120" t="s">
        <v>207</v>
      </c>
      <c r="W855" s="120">
        <v>240</v>
      </c>
      <c r="X855" s="120" t="s">
        <v>207</v>
      </c>
      <c r="Y855" s="120">
        <v>229</v>
      </c>
      <c r="Z855" s="120" t="s">
        <v>207</v>
      </c>
      <c r="AA855" s="120">
        <v>290</v>
      </c>
      <c r="AB855" s="120" t="s">
        <v>207</v>
      </c>
      <c r="AC855" s="120">
        <v>90</v>
      </c>
      <c r="AD855" s="120" t="s">
        <v>207</v>
      </c>
      <c r="AE855" s="120">
        <v>408</v>
      </c>
      <c r="AF855" s="120" t="s">
        <v>207</v>
      </c>
      <c r="AG855" s="120">
        <v>345</v>
      </c>
      <c r="AH855" s="120" t="s">
        <v>207</v>
      </c>
      <c r="AI855" s="120">
        <v>266</v>
      </c>
      <c r="AJ855" s="120" t="s">
        <v>207</v>
      </c>
      <c r="AK855" s="120">
        <v>560</v>
      </c>
      <c r="AL855" s="120" t="s">
        <v>207</v>
      </c>
      <c r="AM855" s="117">
        <f t="shared" si="21"/>
        <v>4133</v>
      </c>
    </row>
    <row r="856" spans="1:39" s="90" customFormat="1" ht="18" customHeight="1" x14ac:dyDescent="0.3">
      <c r="A856" s="114">
        <v>571</v>
      </c>
      <c r="B856" s="11" t="s">
        <v>1263</v>
      </c>
      <c r="C856" s="88" t="s">
        <v>1406</v>
      </c>
      <c r="D856" s="88" t="s">
        <v>958</v>
      </c>
      <c r="E856" s="31" t="s">
        <v>48</v>
      </c>
      <c r="F856" s="85" t="s">
        <v>49</v>
      </c>
      <c r="G856" s="375"/>
      <c r="H856" s="365">
        <v>7</v>
      </c>
      <c r="I856" s="379"/>
      <c r="J856" s="365">
        <v>1</v>
      </c>
      <c r="K856" s="120"/>
      <c r="L856" s="120"/>
      <c r="M856" s="120"/>
      <c r="N856" s="120"/>
      <c r="O856" s="120"/>
      <c r="P856" s="120" t="s">
        <v>207</v>
      </c>
      <c r="Q856" s="120"/>
      <c r="R856" s="120" t="s">
        <v>207</v>
      </c>
      <c r="S856" s="120"/>
      <c r="T856" s="120" t="s">
        <v>207</v>
      </c>
      <c r="U856" s="120"/>
      <c r="V856" s="120" t="s">
        <v>207</v>
      </c>
      <c r="W856" s="120"/>
      <c r="X856" s="120" t="s">
        <v>207</v>
      </c>
      <c r="Y856" s="120"/>
      <c r="Z856" s="120" t="s">
        <v>207</v>
      </c>
      <c r="AA856" s="120"/>
      <c r="AB856" s="120" t="s">
        <v>207</v>
      </c>
      <c r="AC856" s="120"/>
      <c r="AD856" s="120" t="s">
        <v>207</v>
      </c>
      <c r="AE856" s="120"/>
      <c r="AF856" s="120" t="s">
        <v>207</v>
      </c>
      <c r="AG856" s="120"/>
      <c r="AH856" s="120" t="s">
        <v>207</v>
      </c>
      <c r="AI856" s="120"/>
      <c r="AJ856" s="120" t="s">
        <v>207</v>
      </c>
      <c r="AK856" s="120"/>
      <c r="AL856" s="120" t="s">
        <v>207</v>
      </c>
      <c r="AM856" s="117">
        <f t="shared" si="21"/>
        <v>0</v>
      </c>
    </row>
    <row r="857" spans="1:39" s="90" customFormat="1" ht="18" customHeight="1" x14ac:dyDescent="0.3">
      <c r="A857" s="297">
        <v>572</v>
      </c>
      <c r="B857" s="11" t="s">
        <v>1264</v>
      </c>
      <c r="C857" s="88" t="s">
        <v>268</v>
      </c>
      <c r="D857" s="88" t="s">
        <v>958</v>
      </c>
      <c r="E857" s="31" t="s">
        <v>48</v>
      </c>
      <c r="F857" s="85" t="s">
        <v>49</v>
      </c>
      <c r="G857" s="375"/>
      <c r="H857" s="365">
        <v>8</v>
      </c>
      <c r="I857" s="379"/>
      <c r="J857" s="365">
        <v>1</v>
      </c>
      <c r="K857" s="120"/>
      <c r="L857" s="120"/>
      <c r="M857" s="120">
        <v>4499</v>
      </c>
      <c r="N857" s="120">
        <v>4752</v>
      </c>
      <c r="O857" s="120">
        <v>896</v>
      </c>
      <c r="P857" s="120" t="s">
        <v>207</v>
      </c>
      <c r="Q857" s="120">
        <v>610</v>
      </c>
      <c r="R857" s="120" t="s">
        <v>207</v>
      </c>
      <c r="S857" s="120">
        <v>1067</v>
      </c>
      <c r="T857" s="120" t="s">
        <v>207</v>
      </c>
      <c r="U857" s="120">
        <v>789</v>
      </c>
      <c r="V857" s="120" t="s">
        <v>207</v>
      </c>
      <c r="W857" s="120">
        <v>745</v>
      </c>
      <c r="X857" s="120" t="s">
        <v>207</v>
      </c>
      <c r="Y857" s="120">
        <v>685</v>
      </c>
      <c r="Z857" s="120" t="s">
        <v>207</v>
      </c>
      <c r="AA857" s="120">
        <v>981</v>
      </c>
      <c r="AB857" s="120" t="s">
        <v>207</v>
      </c>
      <c r="AC857" s="120">
        <v>512</v>
      </c>
      <c r="AD857" s="120" t="s">
        <v>207</v>
      </c>
      <c r="AE857" s="120">
        <v>563</v>
      </c>
      <c r="AF857" s="120" t="s">
        <v>207</v>
      </c>
      <c r="AG857" s="120">
        <v>1337</v>
      </c>
      <c r="AH857" s="120" t="s">
        <v>207</v>
      </c>
      <c r="AI857" s="120">
        <v>860</v>
      </c>
      <c r="AJ857" s="120" t="s">
        <v>207</v>
      </c>
      <c r="AK857" s="120">
        <v>960</v>
      </c>
      <c r="AL857" s="120" t="s">
        <v>207</v>
      </c>
      <c r="AM857" s="117">
        <f t="shared" si="21"/>
        <v>10005</v>
      </c>
    </row>
    <row r="858" spans="1:39" s="90" customFormat="1" ht="18" customHeight="1" x14ac:dyDescent="0.3">
      <c r="A858" s="114">
        <v>573</v>
      </c>
      <c r="B858" s="11" t="s">
        <v>1265</v>
      </c>
      <c r="C858" s="88" t="s">
        <v>268</v>
      </c>
      <c r="D858" s="88" t="s">
        <v>958</v>
      </c>
      <c r="E858" s="31" t="s">
        <v>48</v>
      </c>
      <c r="F858" s="85" t="s">
        <v>49</v>
      </c>
      <c r="G858" s="375"/>
      <c r="H858" s="365">
        <v>48</v>
      </c>
      <c r="I858" s="379"/>
      <c r="J858" s="365">
        <v>4</v>
      </c>
      <c r="K858" s="120"/>
      <c r="L858" s="120"/>
      <c r="M858" s="120">
        <v>77339</v>
      </c>
      <c r="N858" s="120">
        <v>44742</v>
      </c>
      <c r="O858" s="120">
        <v>6452</v>
      </c>
      <c r="P858" s="120" t="s">
        <v>207</v>
      </c>
      <c r="Q858" s="120">
        <v>2902</v>
      </c>
      <c r="R858" s="120" t="s">
        <v>207</v>
      </c>
      <c r="S858" s="120">
        <v>4281</v>
      </c>
      <c r="T858" s="120" t="s">
        <v>207</v>
      </c>
      <c r="U858" s="120">
        <v>4225</v>
      </c>
      <c r="V858" s="120" t="s">
        <v>207</v>
      </c>
      <c r="W858" s="120">
        <v>3919</v>
      </c>
      <c r="X858" s="120" t="s">
        <v>207</v>
      </c>
      <c r="Y858" s="120">
        <v>2497</v>
      </c>
      <c r="Z858" s="120" t="s">
        <v>207</v>
      </c>
      <c r="AA858" s="120">
        <v>4815</v>
      </c>
      <c r="AB858" s="120" t="s">
        <v>207</v>
      </c>
      <c r="AC858" s="120">
        <v>3522</v>
      </c>
      <c r="AD858" s="120" t="s">
        <v>207</v>
      </c>
      <c r="AE858" s="120">
        <v>3475</v>
      </c>
      <c r="AF858" s="120" t="s">
        <v>207</v>
      </c>
      <c r="AG858" s="120">
        <v>3919</v>
      </c>
      <c r="AH858" s="120" t="s">
        <v>207</v>
      </c>
      <c r="AI858" s="120">
        <v>3817</v>
      </c>
      <c r="AJ858" s="120" t="s">
        <v>207</v>
      </c>
      <c r="AK858" s="120">
        <v>4808</v>
      </c>
      <c r="AL858" s="120" t="s">
        <v>207</v>
      </c>
      <c r="AM858" s="117">
        <f t="shared" si="21"/>
        <v>48632</v>
      </c>
    </row>
    <row r="859" spans="1:39" s="90" customFormat="1" ht="18" customHeight="1" x14ac:dyDescent="0.3">
      <c r="A859" s="114">
        <v>574</v>
      </c>
      <c r="B859" s="11" t="s">
        <v>1266</v>
      </c>
      <c r="C859" s="88" t="s">
        <v>268</v>
      </c>
      <c r="D859" s="88" t="s">
        <v>958</v>
      </c>
      <c r="E859" s="31" t="s">
        <v>48</v>
      </c>
      <c r="F859" s="85" t="s">
        <v>49</v>
      </c>
      <c r="G859" s="375"/>
      <c r="H859" s="365">
        <v>48</v>
      </c>
      <c r="I859" s="379"/>
      <c r="J859" s="365">
        <v>4</v>
      </c>
      <c r="K859" s="120"/>
      <c r="L859" s="120"/>
      <c r="M859" s="120">
        <v>67280</v>
      </c>
      <c r="N859" s="120">
        <v>46691</v>
      </c>
      <c r="O859" s="120">
        <v>6057</v>
      </c>
      <c r="P859" s="120" t="s">
        <v>207</v>
      </c>
      <c r="Q859" s="120">
        <v>4053</v>
      </c>
      <c r="R859" s="120" t="s">
        <v>207</v>
      </c>
      <c r="S859" s="120">
        <v>3541</v>
      </c>
      <c r="T859" s="120" t="s">
        <v>207</v>
      </c>
      <c r="U859" s="120">
        <v>5676</v>
      </c>
      <c r="V859" s="120" t="s">
        <v>207</v>
      </c>
      <c r="W859" s="120">
        <v>4327</v>
      </c>
      <c r="X859" s="120" t="s">
        <v>207</v>
      </c>
      <c r="Y859" s="120">
        <v>2763</v>
      </c>
      <c r="Z859" s="120" t="s">
        <v>207</v>
      </c>
      <c r="AA859" s="120">
        <v>5877</v>
      </c>
      <c r="AB859" s="120" t="s">
        <v>207</v>
      </c>
      <c r="AC859" s="120">
        <v>4622</v>
      </c>
      <c r="AD859" s="120" t="s">
        <v>207</v>
      </c>
      <c r="AE859" s="120">
        <v>4097</v>
      </c>
      <c r="AF859" s="120" t="s">
        <v>207</v>
      </c>
      <c r="AG859" s="120">
        <v>4368</v>
      </c>
      <c r="AH859" s="120" t="s">
        <v>207</v>
      </c>
      <c r="AI859" s="120">
        <v>4158</v>
      </c>
      <c r="AJ859" s="120" t="s">
        <v>207</v>
      </c>
      <c r="AK859" s="120">
        <v>5859</v>
      </c>
      <c r="AL859" s="120" t="s">
        <v>207</v>
      </c>
      <c r="AM859" s="117">
        <f t="shared" si="21"/>
        <v>55398</v>
      </c>
    </row>
    <row r="860" spans="1:39" s="90" customFormat="1" ht="18" customHeight="1" x14ac:dyDescent="0.3">
      <c r="A860" s="297">
        <v>575</v>
      </c>
      <c r="B860" s="11" t="s">
        <v>1267</v>
      </c>
      <c r="C860" s="88" t="s">
        <v>268</v>
      </c>
      <c r="D860" s="88" t="s">
        <v>958</v>
      </c>
      <c r="E860" s="31" t="s">
        <v>48</v>
      </c>
      <c r="F860" s="85" t="s">
        <v>49</v>
      </c>
      <c r="G860" s="375"/>
      <c r="H860" s="365">
        <v>51</v>
      </c>
      <c r="I860" s="379"/>
      <c r="J860" s="365">
        <v>4</v>
      </c>
      <c r="K860" s="120"/>
      <c r="L860" s="120"/>
      <c r="M860" s="120">
        <v>28890</v>
      </c>
      <c r="N860" s="120">
        <v>13324</v>
      </c>
      <c r="O860" s="120">
        <v>1576</v>
      </c>
      <c r="P860" s="120" t="s">
        <v>207</v>
      </c>
      <c r="Q860" s="120">
        <v>1077</v>
      </c>
      <c r="R860" s="120" t="s">
        <v>207</v>
      </c>
      <c r="S860" s="120">
        <v>1242</v>
      </c>
      <c r="T860" s="120" t="s">
        <v>207</v>
      </c>
      <c r="U860" s="120">
        <v>1151</v>
      </c>
      <c r="V860" s="120" t="s">
        <v>207</v>
      </c>
      <c r="W860" s="120">
        <v>1057</v>
      </c>
      <c r="X860" s="120" t="s">
        <v>207</v>
      </c>
      <c r="Y860" s="120">
        <v>758</v>
      </c>
      <c r="Z860" s="120" t="s">
        <v>207</v>
      </c>
      <c r="AA860" s="120">
        <v>1525</v>
      </c>
      <c r="AB860" s="120" t="s">
        <v>207</v>
      </c>
      <c r="AC860" s="120">
        <v>1089</v>
      </c>
      <c r="AD860" s="120" t="s">
        <v>207</v>
      </c>
      <c r="AE860" s="120">
        <v>1220</v>
      </c>
      <c r="AF860" s="120" t="s">
        <v>207</v>
      </c>
      <c r="AG860" s="120">
        <v>1280</v>
      </c>
      <c r="AH860" s="120" t="s">
        <v>207</v>
      </c>
      <c r="AI860" s="120">
        <v>1299</v>
      </c>
      <c r="AJ860" s="120" t="s">
        <v>207</v>
      </c>
      <c r="AK860" s="120">
        <v>1527</v>
      </c>
      <c r="AL860" s="120" t="s">
        <v>207</v>
      </c>
      <c r="AM860" s="117">
        <f t="shared" si="21"/>
        <v>14801</v>
      </c>
    </row>
    <row r="861" spans="1:39" s="90" customFormat="1" ht="18" customHeight="1" x14ac:dyDescent="0.3">
      <c r="A861" s="114">
        <v>576</v>
      </c>
      <c r="B861" s="11" t="s">
        <v>1268</v>
      </c>
      <c r="C861" s="88" t="s">
        <v>268</v>
      </c>
      <c r="D861" s="88" t="s">
        <v>958</v>
      </c>
      <c r="E861" s="31" t="s">
        <v>48</v>
      </c>
      <c r="F861" s="85" t="s">
        <v>49</v>
      </c>
      <c r="G861" s="375"/>
      <c r="H861" s="365">
        <v>48</v>
      </c>
      <c r="I861" s="379"/>
      <c r="J861" s="365">
        <v>4</v>
      </c>
      <c r="K861" s="120"/>
      <c r="L861" s="120"/>
      <c r="M861" s="120">
        <v>65513</v>
      </c>
      <c r="N861" s="120">
        <v>33882</v>
      </c>
      <c r="O861" s="120">
        <v>5639</v>
      </c>
      <c r="P861" s="120" t="s">
        <v>207</v>
      </c>
      <c r="Q861" s="120">
        <v>2915</v>
      </c>
      <c r="R861" s="120" t="s">
        <v>207</v>
      </c>
      <c r="S861" s="120">
        <v>3894</v>
      </c>
      <c r="T861" s="120" t="s">
        <v>207</v>
      </c>
      <c r="U861" s="120">
        <v>5621</v>
      </c>
      <c r="V861" s="120" t="s">
        <v>207</v>
      </c>
      <c r="W861" s="120">
        <v>4690</v>
      </c>
      <c r="X861" s="120" t="s">
        <v>207</v>
      </c>
      <c r="Y861" s="120">
        <v>2856</v>
      </c>
      <c r="Z861" s="120" t="s">
        <v>207</v>
      </c>
      <c r="AA861" s="120">
        <v>5741</v>
      </c>
      <c r="AB861" s="120" t="s">
        <v>207</v>
      </c>
      <c r="AC861" s="120">
        <v>4656</v>
      </c>
      <c r="AD861" s="120" t="s">
        <v>207</v>
      </c>
      <c r="AE861" s="120">
        <v>4311</v>
      </c>
      <c r="AF861" s="120" t="s">
        <v>207</v>
      </c>
      <c r="AG861" s="120">
        <v>4352</v>
      </c>
      <c r="AH861" s="120" t="s">
        <v>207</v>
      </c>
      <c r="AI861" s="120">
        <v>4134</v>
      </c>
      <c r="AJ861" s="120" t="s">
        <v>207</v>
      </c>
      <c r="AK861" s="120">
        <v>4752</v>
      </c>
      <c r="AL861" s="120" t="s">
        <v>207</v>
      </c>
      <c r="AM861" s="117">
        <f t="shared" si="21"/>
        <v>53561</v>
      </c>
    </row>
    <row r="862" spans="1:39" s="90" customFormat="1" ht="18" customHeight="1" x14ac:dyDescent="0.3">
      <c r="A862" s="114">
        <v>577</v>
      </c>
      <c r="B862" s="11" t="s">
        <v>1269</v>
      </c>
      <c r="C862" s="88" t="s">
        <v>268</v>
      </c>
      <c r="D862" s="88" t="s">
        <v>958</v>
      </c>
      <c r="E862" s="31" t="s">
        <v>48</v>
      </c>
      <c r="F862" s="85" t="s">
        <v>49</v>
      </c>
      <c r="G862" s="375"/>
      <c r="H862" s="365">
        <v>72</v>
      </c>
      <c r="I862" s="379"/>
      <c r="J862" s="365">
        <v>6</v>
      </c>
      <c r="K862" s="120"/>
      <c r="L862" s="120"/>
      <c r="M862" s="120"/>
      <c r="N862" s="120">
        <v>1696</v>
      </c>
      <c r="O862" s="120"/>
      <c r="P862" s="120" t="s">
        <v>207</v>
      </c>
      <c r="Q862" s="120"/>
      <c r="R862" s="120" t="s">
        <v>207</v>
      </c>
      <c r="S862" s="120"/>
      <c r="T862" s="120" t="s">
        <v>207</v>
      </c>
      <c r="U862" s="120"/>
      <c r="V862" s="120" t="s">
        <v>207</v>
      </c>
      <c r="W862" s="120"/>
      <c r="X862" s="120" t="s">
        <v>207</v>
      </c>
      <c r="Y862" s="120"/>
      <c r="Z862" s="120" t="s">
        <v>207</v>
      </c>
      <c r="AA862" s="120"/>
      <c r="AB862" s="120" t="s">
        <v>207</v>
      </c>
      <c r="AC862" s="120"/>
      <c r="AD862" s="120" t="s">
        <v>207</v>
      </c>
      <c r="AE862" s="120"/>
      <c r="AF862" s="120" t="s">
        <v>207</v>
      </c>
      <c r="AG862" s="120"/>
      <c r="AH862" s="120" t="s">
        <v>207</v>
      </c>
      <c r="AI862" s="120"/>
      <c r="AJ862" s="120" t="s">
        <v>207</v>
      </c>
      <c r="AK862" s="120"/>
      <c r="AL862" s="120" t="s">
        <v>207</v>
      </c>
      <c r="AM862" s="117">
        <f t="shared" si="21"/>
        <v>0</v>
      </c>
    </row>
    <row r="863" spans="1:39" s="90" customFormat="1" ht="18" customHeight="1" x14ac:dyDescent="0.3">
      <c r="A863" s="297">
        <v>578</v>
      </c>
      <c r="B863" s="11" t="s">
        <v>1270</v>
      </c>
      <c r="C863" s="88" t="s">
        <v>268</v>
      </c>
      <c r="D863" s="88" t="s">
        <v>958</v>
      </c>
      <c r="E863" s="31" t="s">
        <v>48</v>
      </c>
      <c r="F863" s="85" t="s">
        <v>49</v>
      </c>
      <c r="G863" s="375"/>
      <c r="H863" s="365">
        <v>72</v>
      </c>
      <c r="I863" s="379"/>
      <c r="J863" s="365">
        <v>6</v>
      </c>
      <c r="K863" s="120"/>
      <c r="L863" s="120"/>
      <c r="M863" s="120"/>
      <c r="N863" s="120">
        <v>6896</v>
      </c>
      <c r="O863" s="120"/>
      <c r="P863" s="120" t="s">
        <v>207</v>
      </c>
      <c r="Q863" s="120"/>
      <c r="R863" s="120" t="s">
        <v>207</v>
      </c>
      <c r="S863" s="120"/>
      <c r="T863" s="120" t="s">
        <v>207</v>
      </c>
      <c r="U863" s="120"/>
      <c r="V863" s="120" t="s">
        <v>207</v>
      </c>
      <c r="W863" s="120"/>
      <c r="X863" s="120" t="s">
        <v>207</v>
      </c>
      <c r="Y863" s="120"/>
      <c r="Z863" s="120" t="s">
        <v>207</v>
      </c>
      <c r="AA863" s="120"/>
      <c r="AB863" s="120" t="s">
        <v>207</v>
      </c>
      <c r="AC863" s="120"/>
      <c r="AD863" s="120" t="s">
        <v>207</v>
      </c>
      <c r="AE863" s="120"/>
      <c r="AF863" s="120" t="s">
        <v>207</v>
      </c>
      <c r="AG863" s="120"/>
      <c r="AH863" s="120" t="s">
        <v>207</v>
      </c>
      <c r="AI863" s="120"/>
      <c r="AJ863" s="120" t="s">
        <v>207</v>
      </c>
      <c r="AK863" s="120"/>
      <c r="AL863" s="120" t="s">
        <v>207</v>
      </c>
      <c r="AM863" s="117">
        <f t="shared" si="21"/>
        <v>0</v>
      </c>
    </row>
    <row r="864" spans="1:39" s="90" customFormat="1" ht="18" customHeight="1" x14ac:dyDescent="0.3">
      <c r="A864" s="114">
        <v>579</v>
      </c>
      <c r="B864" s="11" t="s">
        <v>1271</v>
      </c>
      <c r="C864" s="88" t="s">
        <v>268</v>
      </c>
      <c r="D864" s="88" t="s">
        <v>958</v>
      </c>
      <c r="E864" s="31" t="s">
        <v>48</v>
      </c>
      <c r="F864" s="85" t="s">
        <v>49</v>
      </c>
      <c r="G864" s="375"/>
      <c r="H864" s="365">
        <v>81</v>
      </c>
      <c r="I864" s="379"/>
      <c r="J864" s="365">
        <v>6</v>
      </c>
      <c r="K864" s="120"/>
      <c r="L864" s="120"/>
      <c r="M864" s="120"/>
      <c r="N864" s="120">
        <v>6086</v>
      </c>
      <c r="O864" s="120"/>
      <c r="P864" s="120" t="s">
        <v>207</v>
      </c>
      <c r="Q864" s="120"/>
      <c r="R864" s="120" t="s">
        <v>207</v>
      </c>
      <c r="S864" s="120"/>
      <c r="T864" s="120" t="s">
        <v>207</v>
      </c>
      <c r="U864" s="120"/>
      <c r="V864" s="120" t="s">
        <v>207</v>
      </c>
      <c r="W864" s="120"/>
      <c r="X864" s="120" t="s">
        <v>207</v>
      </c>
      <c r="Y864" s="120"/>
      <c r="Z864" s="120" t="s">
        <v>207</v>
      </c>
      <c r="AA864" s="120"/>
      <c r="AB864" s="120" t="s">
        <v>207</v>
      </c>
      <c r="AC864" s="120"/>
      <c r="AD864" s="120" t="s">
        <v>207</v>
      </c>
      <c r="AE864" s="120"/>
      <c r="AF864" s="120" t="s">
        <v>207</v>
      </c>
      <c r="AG864" s="120"/>
      <c r="AH864" s="120" t="s">
        <v>207</v>
      </c>
      <c r="AI864" s="120"/>
      <c r="AJ864" s="120" t="s">
        <v>207</v>
      </c>
      <c r="AK864" s="120"/>
      <c r="AL864" s="120" t="s">
        <v>207</v>
      </c>
      <c r="AM864" s="117">
        <f t="shared" si="21"/>
        <v>0</v>
      </c>
    </row>
    <row r="865" spans="1:39" s="90" customFormat="1" ht="18" customHeight="1" x14ac:dyDescent="0.3">
      <c r="A865" s="114">
        <v>580</v>
      </c>
      <c r="B865" s="11" t="s">
        <v>1272</v>
      </c>
      <c r="C865" s="88" t="s">
        <v>268</v>
      </c>
      <c r="D865" s="88" t="s">
        <v>958</v>
      </c>
      <c r="E865" s="31" t="s">
        <v>48</v>
      </c>
      <c r="F865" s="85" t="s">
        <v>49</v>
      </c>
      <c r="G865" s="375"/>
      <c r="H865" s="365">
        <v>72</v>
      </c>
      <c r="I865" s="379"/>
      <c r="J865" s="365">
        <v>6</v>
      </c>
      <c r="K865" s="120"/>
      <c r="L865" s="120"/>
      <c r="M865" s="120"/>
      <c r="N865" s="120">
        <v>8921</v>
      </c>
      <c r="O865" s="120"/>
      <c r="P865" s="120" t="s">
        <v>207</v>
      </c>
      <c r="Q865" s="120"/>
      <c r="R865" s="120" t="s">
        <v>207</v>
      </c>
      <c r="S865" s="120"/>
      <c r="T865" s="120" t="s">
        <v>207</v>
      </c>
      <c r="U865" s="120"/>
      <c r="V865" s="120" t="s">
        <v>207</v>
      </c>
      <c r="W865" s="120"/>
      <c r="X865" s="120" t="s">
        <v>207</v>
      </c>
      <c r="Y865" s="120"/>
      <c r="Z865" s="120" t="s">
        <v>207</v>
      </c>
      <c r="AA865" s="120"/>
      <c r="AB865" s="120" t="s">
        <v>207</v>
      </c>
      <c r="AC865" s="120"/>
      <c r="AD865" s="120" t="s">
        <v>207</v>
      </c>
      <c r="AE865" s="120"/>
      <c r="AF865" s="120" t="s">
        <v>207</v>
      </c>
      <c r="AG865" s="120"/>
      <c r="AH865" s="120" t="s">
        <v>207</v>
      </c>
      <c r="AI865" s="120"/>
      <c r="AJ865" s="120" t="s">
        <v>207</v>
      </c>
      <c r="AK865" s="120"/>
      <c r="AL865" s="120" t="s">
        <v>207</v>
      </c>
      <c r="AM865" s="117">
        <f t="shared" si="21"/>
        <v>0</v>
      </c>
    </row>
    <row r="866" spans="1:39" s="90" customFormat="1" ht="18" customHeight="1" x14ac:dyDescent="0.3">
      <c r="A866" s="297">
        <v>581</v>
      </c>
      <c r="B866" s="11" t="s">
        <v>1273</v>
      </c>
      <c r="C866" s="88" t="s">
        <v>268</v>
      </c>
      <c r="D866" s="88" t="s">
        <v>958</v>
      </c>
      <c r="E866" s="31" t="s">
        <v>48</v>
      </c>
      <c r="F866" s="85" t="s">
        <v>49</v>
      </c>
      <c r="G866" s="375"/>
      <c r="H866" s="365">
        <v>72</v>
      </c>
      <c r="I866" s="379"/>
      <c r="J866" s="365">
        <v>6</v>
      </c>
      <c r="K866" s="120"/>
      <c r="L866" s="120"/>
      <c r="M866" s="120">
        <v>7869</v>
      </c>
      <c r="N866" s="120">
        <v>7145</v>
      </c>
      <c r="O866" s="120">
        <v>737</v>
      </c>
      <c r="P866" s="120" t="s">
        <v>207</v>
      </c>
      <c r="Q866" s="120">
        <v>498</v>
      </c>
      <c r="R866" s="120" t="s">
        <v>207</v>
      </c>
      <c r="S866" s="120">
        <v>546</v>
      </c>
      <c r="T866" s="120" t="s">
        <v>207</v>
      </c>
      <c r="U866" s="120">
        <v>452</v>
      </c>
      <c r="V866" s="120" t="s">
        <v>207</v>
      </c>
      <c r="W866" s="120">
        <v>356</v>
      </c>
      <c r="X866" s="120" t="s">
        <v>207</v>
      </c>
      <c r="Y866" s="120">
        <v>192</v>
      </c>
      <c r="Z866" s="120" t="s">
        <v>207</v>
      </c>
      <c r="AA866" s="120">
        <v>330</v>
      </c>
      <c r="AB866" s="120" t="s">
        <v>207</v>
      </c>
      <c r="AC866" s="120">
        <v>535</v>
      </c>
      <c r="AD866" s="120" t="s">
        <v>207</v>
      </c>
      <c r="AE866" s="120">
        <v>552</v>
      </c>
      <c r="AF866" s="120" t="s">
        <v>207</v>
      </c>
      <c r="AG866" s="120">
        <v>672</v>
      </c>
      <c r="AH866" s="120" t="s">
        <v>207</v>
      </c>
      <c r="AI866" s="120">
        <v>726</v>
      </c>
      <c r="AJ866" s="120" t="s">
        <v>207</v>
      </c>
      <c r="AK866" s="120">
        <v>847</v>
      </c>
      <c r="AL866" s="120" t="s">
        <v>207</v>
      </c>
      <c r="AM866" s="117">
        <f t="shared" si="21"/>
        <v>6443</v>
      </c>
    </row>
    <row r="867" spans="1:39" s="90" customFormat="1" ht="18" customHeight="1" x14ac:dyDescent="0.3">
      <c r="A867" s="114">
        <v>582</v>
      </c>
      <c r="B867" s="11" t="s">
        <v>1274</v>
      </c>
      <c r="C867" s="88" t="s">
        <v>268</v>
      </c>
      <c r="D867" s="88" t="s">
        <v>958</v>
      </c>
      <c r="E867" s="31" t="s">
        <v>48</v>
      </c>
      <c r="F867" s="85" t="s">
        <v>49</v>
      </c>
      <c r="G867" s="375"/>
      <c r="H867" s="365">
        <v>72</v>
      </c>
      <c r="I867" s="379"/>
      <c r="J867" s="365">
        <v>6</v>
      </c>
      <c r="K867" s="120"/>
      <c r="L867" s="120"/>
      <c r="M867" s="120">
        <v>68082</v>
      </c>
      <c r="N867" s="120">
        <v>34230</v>
      </c>
      <c r="O867" s="120">
        <v>5072</v>
      </c>
      <c r="P867" s="120" t="s">
        <v>207</v>
      </c>
      <c r="Q867" s="120">
        <v>3114</v>
      </c>
      <c r="R867" s="120" t="s">
        <v>207</v>
      </c>
      <c r="S867" s="120">
        <v>2462</v>
      </c>
      <c r="T867" s="120" t="s">
        <v>207</v>
      </c>
      <c r="U867" s="120">
        <v>3068</v>
      </c>
      <c r="V867" s="120" t="s">
        <v>207</v>
      </c>
      <c r="W867" s="120">
        <v>3084</v>
      </c>
      <c r="X867" s="120" t="s">
        <v>207</v>
      </c>
      <c r="Y867" s="120">
        <v>1902</v>
      </c>
      <c r="Z867" s="120" t="s">
        <v>207</v>
      </c>
      <c r="AA867" s="120">
        <v>4435</v>
      </c>
      <c r="AB867" s="120" t="s">
        <v>207</v>
      </c>
      <c r="AC867" s="120">
        <v>4757</v>
      </c>
      <c r="AD867" s="120" t="s">
        <v>207</v>
      </c>
      <c r="AE867" s="120">
        <v>4716</v>
      </c>
      <c r="AF867" s="120" t="s">
        <v>207</v>
      </c>
      <c r="AG867" s="120">
        <v>4667</v>
      </c>
      <c r="AH867" s="120" t="s">
        <v>207</v>
      </c>
      <c r="AI867" s="120">
        <v>4060</v>
      </c>
      <c r="AJ867" s="120" t="s">
        <v>207</v>
      </c>
      <c r="AK867" s="120">
        <v>4957</v>
      </c>
      <c r="AL867" s="120" t="s">
        <v>207</v>
      </c>
      <c r="AM867" s="117">
        <f t="shared" si="21"/>
        <v>46294</v>
      </c>
    </row>
    <row r="868" spans="1:39" s="90" customFormat="1" ht="18" customHeight="1" x14ac:dyDescent="0.3">
      <c r="A868" s="114">
        <v>583</v>
      </c>
      <c r="B868" s="11" t="s">
        <v>1275</v>
      </c>
      <c r="C868" s="88" t="s">
        <v>268</v>
      </c>
      <c r="D868" s="88" t="s">
        <v>958</v>
      </c>
      <c r="E868" s="31" t="s">
        <v>48</v>
      </c>
      <c r="F868" s="85" t="s">
        <v>49</v>
      </c>
      <c r="G868" s="375"/>
      <c r="H868" s="365">
        <v>48</v>
      </c>
      <c r="I868" s="379"/>
      <c r="J868" s="365">
        <v>4</v>
      </c>
      <c r="K868" s="120"/>
      <c r="L868" s="120"/>
      <c r="M868" s="120"/>
      <c r="N868" s="120"/>
      <c r="O868" s="120"/>
      <c r="P868" s="120" t="s">
        <v>207</v>
      </c>
      <c r="Q868" s="120"/>
      <c r="R868" s="120" t="s">
        <v>207</v>
      </c>
      <c r="S868" s="120"/>
      <c r="T868" s="120" t="s">
        <v>207</v>
      </c>
      <c r="U868" s="120"/>
      <c r="V868" s="120" t="s">
        <v>207</v>
      </c>
      <c r="W868" s="120"/>
      <c r="X868" s="120" t="s">
        <v>207</v>
      </c>
      <c r="Y868" s="120"/>
      <c r="Z868" s="120" t="s">
        <v>207</v>
      </c>
      <c r="AA868" s="120"/>
      <c r="AB868" s="120" t="s">
        <v>207</v>
      </c>
      <c r="AC868" s="120"/>
      <c r="AD868" s="120" t="s">
        <v>207</v>
      </c>
      <c r="AE868" s="120"/>
      <c r="AF868" s="120" t="s">
        <v>207</v>
      </c>
      <c r="AG868" s="120"/>
      <c r="AH868" s="120" t="s">
        <v>207</v>
      </c>
      <c r="AI868" s="120"/>
      <c r="AJ868" s="120" t="s">
        <v>207</v>
      </c>
      <c r="AK868" s="120"/>
      <c r="AL868" s="120" t="s">
        <v>207</v>
      </c>
      <c r="AM868" s="117">
        <f t="shared" si="21"/>
        <v>0</v>
      </c>
    </row>
    <row r="869" spans="1:39" s="90" customFormat="1" ht="18" customHeight="1" x14ac:dyDescent="0.3">
      <c r="A869" s="297">
        <v>584</v>
      </c>
      <c r="B869" s="11" t="s">
        <v>1276</v>
      </c>
      <c r="C869" s="88" t="s">
        <v>268</v>
      </c>
      <c r="D869" s="88" t="s">
        <v>958</v>
      </c>
      <c r="E869" s="31" t="s">
        <v>48</v>
      </c>
      <c r="F869" s="85" t="s">
        <v>49</v>
      </c>
      <c r="G869" s="375"/>
      <c r="H869" s="365">
        <v>12</v>
      </c>
      <c r="I869" s="379"/>
      <c r="J869" s="365">
        <v>2</v>
      </c>
      <c r="K869" s="120"/>
      <c r="L869" s="120"/>
      <c r="M869" s="120">
        <v>4172</v>
      </c>
      <c r="N869" s="120">
        <v>4399</v>
      </c>
      <c r="O869" s="120">
        <v>577</v>
      </c>
      <c r="P869" s="120" t="s">
        <v>207</v>
      </c>
      <c r="Q869" s="120">
        <v>365</v>
      </c>
      <c r="R869" s="120" t="s">
        <v>207</v>
      </c>
      <c r="S869" s="120">
        <v>463</v>
      </c>
      <c r="T869" s="120" t="s">
        <v>207</v>
      </c>
      <c r="U869" s="120">
        <v>275</v>
      </c>
      <c r="V869" s="120" t="s">
        <v>207</v>
      </c>
      <c r="W869" s="120">
        <v>270</v>
      </c>
      <c r="X869" s="120" t="s">
        <v>207</v>
      </c>
      <c r="Y869" s="120">
        <v>277</v>
      </c>
      <c r="Z869" s="120" t="s">
        <v>207</v>
      </c>
      <c r="AA869" s="120">
        <v>324</v>
      </c>
      <c r="AB869" s="120" t="s">
        <v>207</v>
      </c>
      <c r="AC869" s="120">
        <v>205</v>
      </c>
      <c r="AD869" s="120" t="s">
        <v>207</v>
      </c>
      <c r="AE869" s="120">
        <v>383</v>
      </c>
      <c r="AF869" s="120" t="s">
        <v>207</v>
      </c>
      <c r="AG869" s="120">
        <v>610</v>
      </c>
      <c r="AH869" s="120" t="s">
        <v>207</v>
      </c>
      <c r="AI869" s="120">
        <v>513</v>
      </c>
      <c r="AJ869" s="120" t="s">
        <v>207</v>
      </c>
      <c r="AK869" s="120">
        <v>626</v>
      </c>
      <c r="AL869" s="120" t="s">
        <v>207</v>
      </c>
      <c r="AM869" s="117">
        <f t="shared" si="21"/>
        <v>4888</v>
      </c>
    </row>
    <row r="870" spans="1:39" s="90" customFormat="1" ht="18" customHeight="1" x14ac:dyDescent="0.3">
      <c r="A870" s="114">
        <v>585</v>
      </c>
      <c r="B870" s="11" t="s">
        <v>1277</v>
      </c>
      <c r="C870" s="88" t="s">
        <v>268</v>
      </c>
      <c r="D870" s="88" t="s">
        <v>958</v>
      </c>
      <c r="E870" s="31" t="s">
        <v>48</v>
      </c>
      <c r="F870" s="85" t="s">
        <v>49</v>
      </c>
      <c r="G870" s="375"/>
      <c r="H870" s="365">
        <v>12</v>
      </c>
      <c r="I870" s="379"/>
      <c r="J870" s="365">
        <v>2</v>
      </c>
      <c r="K870" s="120"/>
      <c r="L870" s="120"/>
      <c r="M870" s="120">
        <v>4380</v>
      </c>
      <c r="N870" s="120">
        <v>3108</v>
      </c>
      <c r="O870" s="120">
        <v>372</v>
      </c>
      <c r="P870" s="120" t="s">
        <v>207</v>
      </c>
      <c r="Q870" s="120">
        <v>336</v>
      </c>
      <c r="R870" s="120" t="s">
        <v>207</v>
      </c>
      <c r="S870" s="120">
        <v>372</v>
      </c>
      <c r="T870" s="120" t="s">
        <v>207</v>
      </c>
      <c r="U870" s="120">
        <v>360</v>
      </c>
      <c r="V870" s="120" t="s">
        <v>207</v>
      </c>
      <c r="W870" s="120">
        <v>372</v>
      </c>
      <c r="X870" s="120" t="s">
        <v>207</v>
      </c>
      <c r="Y870" s="120">
        <v>360</v>
      </c>
      <c r="Z870" s="120" t="s">
        <v>207</v>
      </c>
      <c r="AA870" s="120">
        <v>372</v>
      </c>
      <c r="AB870" s="120" t="s">
        <v>207</v>
      </c>
      <c r="AC870" s="120">
        <v>372</v>
      </c>
      <c r="AD870" s="120" t="s">
        <v>207</v>
      </c>
      <c r="AE870" s="120">
        <v>360</v>
      </c>
      <c r="AF870" s="120" t="s">
        <v>207</v>
      </c>
      <c r="AG870" s="120">
        <v>372</v>
      </c>
      <c r="AH870" s="120" t="s">
        <v>207</v>
      </c>
      <c r="AI870" s="120">
        <v>360</v>
      </c>
      <c r="AJ870" s="120" t="s">
        <v>207</v>
      </c>
      <c r="AK870" s="120">
        <v>372</v>
      </c>
      <c r="AL870" s="120" t="s">
        <v>207</v>
      </c>
      <c r="AM870" s="117">
        <f t="shared" si="21"/>
        <v>4380</v>
      </c>
    </row>
    <row r="871" spans="1:39" s="90" customFormat="1" ht="18" customHeight="1" x14ac:dyDescent="0.3">
      <c r="A871" s="114">
        <v>586</v>
      </c>
      <c r="B871" s="11" t="s">
        <v>1278</v>
      </c>
      <c r="C871" s="88" t="s">
        <v>268</v>
      </c>
      <c r="D871" s="88" t="s">
        <v>958</v>
      </c>
      <c r="E871" s="31" t="s">
        <v>48</v>
      </c>
      <c r="F871" s="85" t="s">
        <v>49</v>
      </c>
      <c r="G871" s="375"/>
      <c r="H871" s="365">
        <v>14</v>
      </c>
      <c r="I871" s="379"/>
      <c r="J871" s="365">
        <v>2</v>
      </c>
      <c r="K871" s="120"/>
      <c r="L871" s="120"/>
      <c r="M871" s="120">
        <v>8642</v>
      </c>
      <c r="N871" s="120">
        <v>9441</v>
      </c>
      <c r="O871" s="120">
        <v>1192</v>
      </c>
      <c r="P871" s="120" t="s">
        <v>207</v>
      </c>
      <c r="Q871" s="120">
        <v>974</v>
      </c>
      <c r="R871" s="120" t="s">
        <v>207</v>
      </c>
      <c r="S871" s="120">
        <v>850</v>
      </c>
      <c r="T871" s="120" t="s">
        <v>207</v>
      </c>
      <c r="U871" s="120">
        <v>550</v>
      </c>
      <c r="V871" s="120" t="s">
        <v>207</v>
      </c>
      <c r="W871" s="120">
        <v>500</v>
      </c>
      <c r="X871" s="120" t="s">
        <v>207</v>
      </c>
      <c r="Y871" s="120">
        <v>458</v>
      </c>
      <c r="Z871" s="120" t="s">
        <v>207</v>
      </c>
      <c r="AA871" s="120">
        <v>493</v>
      </c>
      <c r="AB871" s="120" t="s">
        <v>207</v>
      </c>
      <c r="AC871" s="120">
        <v>269</v>
      </c>
      <c r="AD871" s="120" t="s">
        <v>207</v>
      </c>
      <c r="AE871" s="120">
        <v>547</v>
      </c>
      <c r="AF871" s="120" t="s">
        <v>207</v>
      </c>
      <c r="AG871" s="120">
        <v>811</v>
      </c>
      <c r="AH871" s="120" t="s">
        <v>207</v>
      </c>
      <c r="AI871" s="120">
        <v>803</v>
      </c>
      <c r="AJ871" s="120" t="s">
        <v>207</v>
      </c>
      <c r="AK871" s="120">
        <v>1181</v>
      </c>
      <c r="AL871" s="120" t="s">
        <v>207</v>
      </c>
      <c r="AM871" s="117">
        <f t="shared" si="21"/>
        <v>8628</v>
      </c>
    </row>
    <row r="872" spans="1:39" s="90" customFormat="1" ht="18" customHeight="1" x14ac:dyDescent="0.3">
      <c r="A872" s="297">
        <v>587</v>
      </c>
      <c r="B872" s="11" t="s">
        <v>1279</v>
      </c>
      <c r="C872" s="88" t="s">
        <v>268</v>
      </c>
      <c r="D872" s="88" t="s">
        <v>958</v>
      </c>
      <c r="E872" s="31" t="s">
        <v>48</v>
      </c>
      <c r="F872" s="85" t="s">
        <v>49</v>
      </c>
      <c r="G872" s="375"/>
      <c r="H872" s="365">
        <v>12</v>
      </c>
      <c r="I872" s="379"/>
      <c r="J872" s="365">
        <v>2</v>
      </c>
      <c r="K872" s="120"/>
      <c r="L872" s="120"/>
      <c r="M872" s="120">
        <v>6416</v>
      </c>
      <c r="N872" s="120">
        <v>5504</v>
      </c>
      <c r="O872" s="120">
        <v>684</v>
      </c>
      <c r="P872" s="120" t="s">
        <v>207</v>
      </c>
      <c r="Q872" s="120">
        <v>567</v>
      </c>
      <c r="R872" s="120" t="s">
        <v>207</v>
      </c>
      <c r="S872" s="120">
        <v>716</v>
      </c>
      <c r="T872" s="120" t="s">
        <v>207</v>
      </c>
      <c r="U872" s="120">
        <v>428</v>
      </c>
      <c r="V872" s="120" t="s">
        <v>207</v>
      </c>
      <c r="W872" s="120">
        <v>349</v>
      </c>
      <c r="X872" s="120" t="s">
        <v>207</v>
      </c>
      <c r="Y872" s="120">
        <v>441</v>
      </c>
      <c r="Z872" s="120" t="s">
        <v>207</v>
      </c>
      <c r="AA872" s="120">
        <v>479</v>
      </c>
      <c r="AB872" s="120" t="s">
        <v>207</v>
      </c>
      <c r="AC872" s="120">
        <v>932</v>
      </c>
      <c r="AD872" s="120" t="s">
        <v>207</v>
      </c>
      <c r="AE872" s="120">
        <v>278</v>
      </c>
      <c r="AF872" s="120" t="s">
        <v>207</v>
      </c>
      <c r="AG872" s="120">
        <v>339</v>
      </c>
      <c r="AH872" s="120" t="s">
        <v>207</v>
      </c>
      <c r="AI872" s="120">
        <v>313</v>
      </c>
      <c r="AJ872" s="120" t="s">
        <v>207</v>
      </c>
      <c r="AK872" s="120">
        <v>629</v>
      </c>
      <c r="AL872" s="120" t="s">
        <v>207</v>
      </c>
      <c r="AM872" s="117">
        <f t="shared" si="21"/>
        <v>6155</v>
      </c>
    </row>
    <row r="873" spans="1:39" s="90" customFormat="1" ht="18" customHeight="1" x14ac:dyDescent="0.3">
      <c r="A873" s="114">
        <v>588</v>
      </c>
      <c r="B873" s="11" t="s">
        <v>1280</v>
      </c>
      <c r="C873" s="88" t="s">
        <v>268</v>
      </c>
      <c r="D873" s="88" t="s">
        <v>958</v>
      </c>
      <c r="E873" s="31" t="s">
        <v>48</v>
      </c>
      <c r="F873" s="85" t="s">
        <v>49</v>
      </c>
      <c r="G873" s="375"/>
      <c r="H873" s="365">
        <v>12</v>
      </c>
      <c r="I873" s="379"/>
      <c r="J873" s="365">
        <v>2</v>
      </c>
      <c r="K873" s="120"/>
      <c r="L873" s="120"/>
      <c r="M873" s="120">
        <v>11340</v>
      </c>
      <c r="N873" s="120">
        <v>11903</v>
      </c>
      <c r="O873" s="120">
        <v>1235</v>
      </c>
      <c r="P873" s="120" t="s">
        <v>207</v>
      </c>
      <c r="Q873" s="120">
        <v>1213</v>
      </c>
      <c r="R873" s="120" t="s">
        <v>207</v>
      </c>
      <c r="S873" s="120">
        <v>879</v>
      </c>
      <c r="T873" s="120" t="s">
        <v>207</v>
      </c>
      <c r="U873" s="120">
        <v>1230</v>
      </c>
      <c r="V873" s="120" t="s">
        <v>207</v>
      </c>
      <c r="W873" s="120">
        <v>739</v>
      </c>
      <c r="X873" s="120" t="s">
        <v>207</v>
      </c>
      <c r="Y873" s="120">
        <v>978</v>
      </c>
      <c r="Z873" s="120" t="s">
        <v>207</v>
      </c>
      <c r="AA873" s="120">
        <v>749</v>
      </c>
      <c r="AB873" s="120" t="s">
        <v>207</v>
      </c>
      <c r="AC873" s="120">
        <v>434</v>
      </c>
      <c r="AD873" s="120" t="s">
        <v>207</v>
      </c>
      <c r="AE873" s="120">
        <v>808</v>
      </c>
      <c r="AF873" s="120" t="s">
        <v>207</v>
      </c>
      <c r="AG873" s="120">
        <v>1086</v>
      </c>
      <c r="AH873" s="120" t="s">
        <v>207</v>
      </c>
      <c r="AI873" s="120">
        <v>1065</v>
      </c>
      <c r="AJ873" s="120" t="s">
        <v>207</v>
      </c>
      <c r="AK873" s="120">
        <v>1328</v>
      </c>
      <c r="AL873" s="120" t="s">
        <v>207</v>
      </c>
      <c r="AM873" s="117">
        <f t="shared" si="21"/>
        <v>11744</v>
      </c>
    </row>
    <row r="874" spans="1:39" s="90" customFormat="1" ht="18" customHeight="1" x14ac:dyDescent="0.3">
      <c r="A874" s="114">
        <v>589</v>
      </c>
      <c r="B874" s="11" t="s">
        <v>1281</v>
      </c>
      <c r="C874" s="88" t="s">
        <v>268</v>
      </c>
      <c r="D874" s="88" t="s">
        <v>958</v>
      </c>
      <c r="E874" s="31" t="s">
        <v>48</v>
      </c>
      <c r="F874" s="85" t="s">
        <v>49</v>
      </c>
      <c r="G874" s="375"/>
      <c r="H874" s="365">
        <v>14</v>
      </c>
      <c r="I874" s="379"/>
      <c r="J874" s="365">
        <v>2</v>
      </c>
      <c r="K874" s="120"/>
      <c r="L874" s="120"/>
      <c r="M874" s="120">
        <v>2635</v>
      </c>
      <c r="N874" s="120">
        <v>610</v>
      </c>
      <c r="O874" s="120">
        <v>163</v>
      </c>
      <c r="P874" s="120" t="s">
        <v>207</v>
      </c>
      <c r="Q874" s="120">
        <v>320</v>
      </c>
      <c r="R874" s="120" t="s">
        <v>207</v>
      </c>
      <c r="S874" s="120">
        <v>402</v>
      </c>
      <c r="T874" s="120" t="s">
        <v>207</v>
      </c>
      <c r="U874" s="120">
        <v>408</v>
      </c>
      <c r="V874" s="120" t="s">
        <v>207</v>
      </c>
      <c r="W874" s="120">
        <v>337</v>
      </c>
      <c r="X874" s="120" t="s">
        <v>207</v>
      </c>
      <c r="Y874" s="120">
        <v>344</v>
      </c>
      <c r="Z874" s="120" t="s">
        <v>207</v>
      </c>
      <c r="AA874" s="120">
        <v>321</v>
      </c>
      <c r="AB874" s="120" t="s">
        <v>207</v>
      </c>
      <c r="AC874" s="120">
        <v>241</v>
      </c>
      <c r="AD874" s="120" t="s">
        <v>207</v>
      </c>
      <c r="AE874" s="120">
        <v>382</v>
      </c>
      <c r="AF874" s="120" t="s">
        <v>207</v>
      </c>
      <c r="AG874" s="120">
        <v>379</v>
      </c>
      <c r="AH874" s="120" t="s">
        <v>207</v>
      </c>
      <c r="AI874" s="120">
        <v>330</v>
      </c>
      <c r="AJ874" s="120" t="s">
        <v>207</v>
      </c>
      <c r="AK874" s="120">
        <v>442</v>
      </c>
      <c r="AL874" s="120" t="s">
        <v>207</v>
      </c>
      <c r="AM874" s="117">
        <f t="shared" si="21"/>
        <v>4069</v>
      </c>
    </row>
    <row r="875" spans="1:39" s="90" customFormat="1" ht="18" customHeight="1" x14ac:dyDescent="0.3">
      <c r="A875" s="297">
        <v>590</v>
      </c>
      <c r="B875" s="11" t="s">
        <v>1282</v>
      </c>
      <c r="C875" s="88" t="s">
        <v>268</v>
      </c>
      <c r="D875" s="88" t="s">
        <v>958</v>
      </c>
      <c r="E875" s="31" t="s">
        <v>48</v>
      </c>
      <c r="F875" s="85" t="s">
        <v>49</v>
      </c>
      <c r="G875" s="375"/>
      <c r="H875" s="365">
        <v>14</v>
      </c>
      <c r="I875" s="379"/>
      <c r="J875" s="365">
        <v>2</v>
      </c>
      <c r="K875" s="120"/>
      <c r="L875" s="120"/>
      <c r="M875" s="120">
        <v>1348</v>
      </c>
      <c r="N875" s="120">
        <v>1182</v>
      </c>
      <c r="O875" s="120">
        <v>234</v>
      </c>
      <c r="P875" s="120" t="s">
        <v>207</v>
      </c>
      <c r="Q875" s="120">
        <v>153</v>
      </c>
      <c r="R875" s="120" t="s">
        <v>207</v>
      </c>
      <c r="S875" s="120">
        <v>169</v>
      </c>
      <c r="T875" s="120" t="s">
        <v>207</v>
      </c>
      <c r="U875" s="120">
        <v>108</v>
      </c>
      <c r="V875" s="120" t="s">
        <v>207</v>
      </c>
      <c r="W875" s="120">
        <v>113</v>
      </c>
      <c r="X875" s="120" t="s">
        <v>207</v>
      </c>
      <c r="Y875" s="120">
        <v>135</v>
      </c>
      <c r="Z875" s="120" t="s">
        <v>207</v>
      </c>
      <c r="AA875" s="120">
        <v>147</v>
      </c>
      <c r="AB875" s="120" t="s">
        <v>207</v>
      </c>
      <c r="AC875" s="120">
        <v>51</v>
      </c>
      <c r="AD875" s="120" t="s">
        <v>207</v>
      </c>
      <c r="AE875" s="120">
        <v>100</v>
      </c>
      <c r="AF875" s="120" t="s">
        <v>207</v>
      </c>
      <c r="AG875" s="120">
        <v>101</v>
      </c>
      <c r="AH875" s="120" t="s">
        <v>207</v>
      </c>
      <c r="AI875" s="120">
        <v>93</v>
      </c>
      <c r="AJ875" s="120" t="s">
        <v>207</v>
      </c>
      <c r="AK875" s="120">
        <v>136</v>
      </c>
      <c r="AL875" s="120" t="s">
        <v>207</v>
      </c>
      <c r="AM875" s="117">
        <f t="shared" si="21"/>
        <v>1540</v>
      </c>
    </row>
    <row r="876" spans="1:39" s="90" customFormat="1" ht="18" customHeight="1" x14ac:dyDescent="0.3">
      <c r="A876" s="114">
        <v>591</v>
      </c>
      <c r="B876" s="11" t="s">
        <v>1283</v>
      </c>
      <c r="C876" s="88" t="s">
        <v>268</v>
      </c>
      <c r="D876" s="88" t="s">
        <v>958</v>
      </c>
      <c r="E876" s="31" t="s">
        <v>48</v>
      </c>
      <c r="F876" s="85" t="s">
        <v>49</v>
      </c>
      <c r="G876" s="375"/>
      <c r="H876" s="365">
        <v>12</v>
      </c>
      <c r="I876" s="379"/>
      <c r="J876" s="365">
        <v>2</v>
      </c>
      <c r="K876" s="120"/>
      <c r="L876" s="120"/>
      <c r="M876" s="120">
        <v>7533</v>
      </c>
      <c r="N876" s="120">
        <v>7445</v>
      </c>
      <c r="O876" s="120">
        <v>979</v>
      </c>
      <c r="P876" s="120" t="s">
        <v>207</v>
      </c>
      <c r="Q876" s="120">
        <v>753</v>
      </c>
      <c r="R876" s="120" t="s">
        <v>207</v>
      </c>
      <c r="S876" s="120">
        <v>703</v>
      </c>
      <c r="T876" s="120" t="s">
        <v>207</v>
      </c>
      <c r="U876" s="120">
        <v>460</v>
      </c>
      <c r="V876" s="120" t="s">
        <v>207</v>
      </c>
      <c r="W876" s="120">
        <v>421</v>
      </c>
      <c r="X876" s="120" t="s">
        <v>207</v>
      </c>
      <c r="Y876" s="120">
        <v>368</v>
      </c>
      <c r="Z876" s="120" t="s">
        <v>207</v>
      </c>
      <c r="AA876" s="120">
        <v>373</v>
      </c>
      <c r="AB876" s="120" t="s">
        <v>207</v>
      </c>
      <c r="AC876" s="120">
        <v>343</v>
      </c>
      <c r="AD876" s="120" t="s">
        <v>207</v>
      </c>
      <c r="AE876" s="120">
        <v>438</v>
      </c>
      <c r="AF876" s="120" t="s">
        <v>207</v>
      </c>
      <c r="AG876" s="120">
        <v>739</v>
      </c>
      <c r="AH876" s="120" t="s">
        <v>207</v>
      </c>
      <c r="AI876" s="120">
        <v>795</v>
      </c>
      <c r="AJ876" s="120" t="s">
        <v>207</v>
      </c>
      <c r="AK876" s="120">
        <v>875</v>
      </c>
      <c r="AL876" s="120" t="s">
        <v>207</v>
      </c>
      <c r="AM876" s="117">
        <f t="shared" si="21"/>
        <v>7247</v>
      </c>
    </row>
    <row r="877" spans="1:39" s="90" customFormat="1" ht="18" customHeight="1" x14ac:dyDescent="0.3">
      <c r="A877" s="114">
        <v>592</v>
      </c>
      <c r="B877" s="11" t="s">
        <v>1284</v>
      </c>
      <c r="C877" s="88" t="s">
        <v>268</v>
      </c>
      <c r="D877" s="88" t="s">
        <v>958</v>
      </c>
      <c r="E877" s="31" t="s">
        <v>48</v>
      </c>
      <c r="F877" s="85" t="s">
        <v>49</v>
      </c>
      <c r="G877" s="375"/>
      <c r="H877" s="365">
        <v>13</v>
      </c>
      <c r="I877" s="379"/>
      <c r="J877" s="365">
        <v>2</v>
      </c>
      <c r="K877" s="120"/>
      <c r="L877" s="120"/>
      <c r="M877" s="120">
        <v>1734</v>
      </c>
      <c r="N877" s="120">
        <v>1841</v>
      </c>
      <c r="O877" s="120">
        <v>43</v>
      </c>
      <c r="P877" s="120" t="s">
        <v>207</v>
      </c>
      <c r="Q877" s="120">
        <v>48</v>
      </c>
      <c r="R877" s="120" t="s">
        <v>207</v>
      </c>
      <c r="S877" s="120">
        <v>36</v>
      </c>
      <c r="T877" s="120" t="s">
        <v>207</v>
      </c>
      <c r="U877" s="120">
        <v>31</v>
      </c>
      <c r="V877" s="120" t="s">
        <v>207</v>
      </c>
      <c r="W877" s="120">
        <v>33</v>
      </c>
      <c r="X877" s="120" t="s">
        <v>207</v>
      </c>
      <c r="Y877" s="120">
        <v>38</v>
      </c>
      <c r="Z877" s="120" t="s">
        <v>207</v>
      </c>
      <c r="AA877" s="120">
        <v>66</v>
      </c>
      <c r="AB877" s="120" t="s">
        <v>207</v>
      </c>
      <c r="AC877" s="120">
        <v>47</v>
      </c>
      <c r="AD877" s="120" t="s">
        <v>207</v>
      </c>
      <c r="AE877" s="120">
        <v>64</v>
      </c>
      <c r="AF877" s="120" t="s">
        <v>207</v>
      </c>
      <c r="AG877" s="120">
        <v>88</v>
      </c>
      <c r="AH877" s="120" t="s">
        <v>207</v>
      </c>
      <c r="AI877" s="120">
        <v>111</v>
      </c>
      <c r="AJ877" s="120" t="s">
        <v>207</v>
      </c>
      <c r="AK877" s="120">
        <v>158</v>
      </c>
      <c r="AL877" s="120" t="s">
        <v>207</v>
      </c>
      <c r="AM877" s="117">
        <f t="shared" si="21"/>
        <v>763</v>
      </c>
    </row>
    <row r="878" spans="1:39" s="90" customFormat="1" ht="18" customHeight="1" x14ac:dyDescent="0.3">
      <c r="A878" s="297">
        <v>593</v>
      </c>
      <c r="B878" s="11" t="s">
        <v>1285</v>
      </c>
      <c r="C878" s="88" t="s">
        <v>268</v>
      </c>
      <c r="D878" s="88" t="s">
        <v>958</v>
      </c>
      <c r="E878" s="31" t="s">
        <v>48</v>
      </c>
      <c r="F878" s="85" t="s">
        <v>49</v>
      </c>
      <c r="G878" s="375"/>
      <c r="H878" s="365">
        <v>15</v>
      </c>
      <c r="I878" s="379"/>
      <c r="J878" s="365">
        <v>2</v>
      </c>
      <c r="K878" s="120"/>
      <c r="L878" s="120"/>
      <c r="M878" s="120">
        <v>12074</v>
      </c>
      <c r="N878" s="120">
        <v>1007</v>
      </c>
      <c r="O878" s="120">
        <v>1133</v>
      </c>
      <c r="P878" s="120" t="s">
        <v>207</v>
      </c>
      <c r="Q878" s="120">
        <v>906</v>
      </c>
      <c r="R878" s="120" t="s">
        <v>207</v>
      </c>
      <c r="S878" s="120">
        <v>1025</v>
      </c>
      <c r="T878" s="120" t="s">
        <v>207</v>
      </c>
      <c r="U878" s="120">
        <v>557</v>
      </c>
      <c r="V878" s="120" t="s">
        <v>207</v>
      </c>
      <c r="W878" s="120">
        <v>471</v>
      </c>
      <c r="X878" s="120" t="s">
        <v>207</v>
      </c>
      <c r="Y878" s="120">
        <v>589</v>
      </c>
      <c r="Z878" s="120" t="s">
        <v>207</v>
      </c>
      <c r="AA878" s="120">
        <v>422</v>
      </c>
      <c r="AB878" s="120" t="s">
        <v>207</v>
      </c>
      <c r="AC878" s="120">
        <v>320</v>
      </c>
      <c r="AD878" s="120" t="s">
        <v>207</v>
      </c>
      <c r="AE878" s="120">
        <v>643</v>
      </c>
      <c r="AF878" s="120" t="s">
        <v>207</v>
      </c>
      <c r="AG878" s="120">
        <v>852</v>
      </c>
      <c r="AH878" s="120" t="s">
        <v>207</v>
      </c>
      <c r="AI878" s="120">
        <v>1817</v>
      </c>
      <c r="AJ878" s="120" t="s">
        <v>207</v>
      </c>
      <c r="AK878" s="120">
        <v>2077</v>
      </c>
      <c r="AL878" s="120" t="s">
        <v>207</v>
      </c>
      <c r="AM878" s="117">
        <f t="shared" ref="AM878:AM932" si="22">SUM(O878,Q878,S878,U878,W878,Y878,AA878,AC878,AE878,AG878,AI878,AK878)</f>
        <v>10812</v>
      </c>
    </row>
    <row r="879" spans="1:39" s="90" customFormat="1" ht="18" customHeight="1" x14ac:dyDescent="0.3">
      <c r="A879" s="114">
        <v>594</v>
      </c>
      <c r="B879" s="11" t="s">
        <v>1286</v>
      </c>
      <c r="C879" s="88" t="s">
        <v>268</v>
      </c>
      <c r="D879" s="88" t="s">
        <v>958</v>
      </c>
      <c r="E879" s="31" t="s">
        <v>48</v>
      </c>
      <c r="F879" s="85" t="s">
        <v>49</v>
      </c>
      <c r="G879" s="375"/>
      <c r="H879" s="365">
        <v>20</v>
      </c>
      <c r="I879" s="379"/>
      <c r="J879" s="365">
        <v>2</v>
      </c>
      <c r="K879" s="120"/>
      <c r="L879" s="120"/>
      <c r="M879" s="120">
        <v>8481</v>
      </c>
      <c r="N879" s="120">
        <v>8450</v>
      </c>
      <c r="O879" s="120">
        <v>1278</v>
      </c>
      <c r="P879" s="120" t="s">
        <v>207</v>
      </c>
      <c r="Q879" s="120">
        <v>988</v>
      </c>
      <c r="R879" s="120" t="s">
        <v>207</v>
      </c>
      <c r="S879" s="120">
        <v>856</v>
      </c>
      <c r="T879" s="120" t="s">
        <v>207</v>
      </c>
      <c r="U879" s="120">
        <v>518</v>
      </c>
      <c r="V879" s="120" t="s">
        <v>207</v>
      </c>
      <c r="W879" s="120">
        <v>551</v>
      </c>
      <c r="X879" s="120" t="s">
        <v>207</v>
      </c>
      <c r="Y879" s="120">
        <v>493</v>
      </c>
      <c r="Z879" s="120" t="s">
        <v>207</v>
      </c>
      <c r="AA879" s="120">
        <v>584</v>
      </c>
      <c r="AB879" s="120" t="s">
        <v>207</v>
      </c>
      <c r="AC879" s="120">
        <v>303</v>
      </c>
      <c r="AD879" s="120" t="s">
        <v>207</v>
      </c>
      <c r="AE879" s="120">
        <v>543</v>
      </c>
      <c r="AF879" s="120" t="s">
        <v>207</v>
      </c>
      <c r="AG879" s="120">
        <v>694</v>
      </c>
      <c r="AH879" s="120" t="s">
        <v>207</v>
      </c>
      <c r="AI879" s="120">
        <v>751</v>
      </c>
      <c r="AJ879" s="120" t="s">
        <v>207</v>
      </c>
      <c r="AK879" s="120">
        <v>1030</v>
      </c>
      <c r="AL879" s="120" t="s">
        <v>207</v>
      </c>
      <c r="AM879" s="117">
        <f t="shared" si="22"/>
        <v>8589</v>
      </c>
    </row>
    <row r="880" spans="1:39" s="90" customFormat="1" ht="18" customHeight="1" x14ac:dyDescent="0.3">
      <c r="A880" s="114">
        <v>595</v>
      </c>
      <c r="B880" s="11" t="s">
        <v>1287</v>
      </c>
      <c r="C880" s="88" t="s">
        <v>268</v>
      </c>
      <c r="D880" s="88" t="s">
        <v>958</v>
      </c>
      <c r="E880" s="31" t="s">
        <v>48</v>
      </c>
      <c r="F880" s="85" t="s">
        <v>49</v>
      </c>
      <c r="G880" s="375"/>
      <c r="H880" s="365">
        <v>5</v>
      </c>
      <c r="I880" s="379"/>
      <c r="J880" s="365">
        <v>1</v>
      </c>
      <c r="K880" s="120"/>
      <c r="L880" s="120"/>
      <c r="M880" s="120">
        <v>1344</v>
      </c>
      <c r="N880" s="120">
        <v>1174</v>
      </c>
      <c r="O880" s="120">
        <v>106</v>
      </c>
      <c r="P880" s="120" t="s">
        <v>207</v>
      </c>
      <c r="Q880" s="120">
        <v>106</v>
      </c>
      <c r="R880" s="120" t="s">
        <v>207</v>
      </c>
      <c r="S880" s="120">
        <v>61</v>
      </c>
      <c r="T880" s="120" t="s">
        <v>207</v>
      </c>
      <c r="U880" s="120">
        <v>54</v>
      </c>
      <c r="V880" s="120" t="s">
        <v>207</v>
      </c>
      <c r="W880" s="120">
        <v>47</v>
      </c>
      <c r="X880" s="120" t="s">
        <v>207</v>
      </c>
      <c r="Y880" s="120">
        <v>49</v>
      </c>
      <c r="Z880" s="120" t="s">
        <v>207</v>
      </c>
      <c r="AA880" s="120">
        <v>77</v>
      </c>
      <c r="AB880" s="120" t="s">
        <v>207</v>
      </c>
      <c r="AC880" s="120">
        <v>74</v>
      </c>
      <c r="AD880" s="120" t="s">
        <v>207</v>
      </c>
      <c r="AE880" s="120">
        <v>99</v>
      </c>
      <c r="AF880" s="120" t="s">
        <v>207</v>
      </c>
      <c r="AG880" s="120">
        <v>120</v>
      </c>
      <c r="AH880" s="120" t="s">
        <v>207</v>
      </c>
      <c r="AI880" s="120">
        <v>76</v>
      </c>
      <c r="AJ880" s="120" t="s">
        <v>207</v>
      </c>
      <c r="AK880" s="120">
        <v>120</v>
      </c>
      <c r="AL880" s="120" t="s">
        <v>207</v>
      </c>
      <c r="AM880" s="117">
        <f t="shared" si="22"/>
        <v>989</v>
      </c>
    </row>
    <row r="881" spans="1:39" s="90" customFormat="1" ht="18" customHeight="1" x14ac:dyDescent="0.3">
      <c r="A881" s="297">
        <v>596</v>
      </c>
      <c r="B881" s="11" t="s">
        <v>1288</v>
      </c>
      <c r="C881" s="88" t="s">
        <v>268</v>
      </c>
      <c r="D881" s="88" t="s">
        <v>958</v>
      </c>
      <c r="E881" s="31" t="s">
        <v>48</v>
      </c>
      <c r="F881" s="85" t="s">
        <v>49</v>
      </c>
      <c r="G881" s="375"/>
      <c r="H881" s="365">
        <v>5</v>
      </c>
      <c r="I881" s="379"/>
      <c r="J881" s="365">
        <v>1</v>
      </c>
      <c r="K881" s="120"/>
      <c r="L881" s="120"/>
      <c r="M881" s="120">
        <v>1916</v>
      </c>
      <c r="N881" s="120">
        <v>3456</v>
      </c>
      <c r="O881" s="120">
        <v>128</v>
      </c>
      <c r="P881" s="120" t="s">
        <v>207</v>
      </c>
      <c r="Q881" s="120">
        <v>126</v>
      </c>
      <c r="R881" s="120" t="s">
        <v>207</v>
      </c>
      <c r="S881" s="120">
        <v>122</v>
      </c>
      <c r="T881" s="120" t="s">
        <v>207</v>
      </c>
      <c r="U881" s="120">
        <v>131</v>
      </c>
      <c r="V881" s="120" t="s">
        <v>207</v>
      </c>
      <c r="W881" s="120">
        <v>125</v>
      </c>
      <c r="X881" s="120" t="s">
        <v>207</v>
      </c>
      <c r="Y881" s="120">
        <v>124</v>
      </c>
      <c r="Z881" s="120" t="s">
        <v>207</v>
      </c>
      <c r="AA881" s="120">
        <v>134</v>
      </c>
      <c r="AB881" s="120" t="s">
        <v>207</v>
      </c>
      <c r="AC881" s="120">
        <v>99</v>
      </c>
      <c r="AD881" s="120" t="s">
        <v>207</v>
      </c>
      <c r="AE881" s="120">
        <v>163</v>
      </c>
      <c r="AF881" s="120" t="s">
        <v>207</v>
      </c>
      <c r="AG881" s="120">
        <v>201</v>
      </c>
      <c r="AH881" s="120" t="s">
        <v>207</v>
      </c>
      <c r="AI881" s="120">
        <v>172</v>
      </c>
      <c r="AJ881" s="120" t="s">
        <v>207</v>
      </c>
      <c r="AK881" s="120">
        <v>216</v>
      </c>
      <c r="AL881" s="120" t="s">
        <v>207</v>
      </c>
      <c r="AM881" s="117">
        <f t="shared" si="22"/>
        <v>1741</v>
      </c>
    </row>
    <row r="882" spans="1:39" s="90" customFormat="1" ht="18" customHeight="1" x14ac:dyDescent="0.3">
      <c r="A882" s="114">
        <v>597</v>
      </c>
      <c r="B882" s="11" t="s">
        <v>1289</v>
      </c>
      <c r="C882" s="88" t="s">
        <v>268</v>
      </c>
      <c r="D882" s="88" t="s">
        <v>958</v>
      </c>
      <c r="E882" s="31" t="s">
        <v>48</v>
      </c>
      <c r="F882" s="85" t="s">
        <v>49</v>
      </c>
      <c r="G882" s="375"/>
      <c r="H882" s="365">
        <v>25</v>
      </c>
      <c r="I882" s="379"/>
      <c r="J882" s="365">
        <v>3</v>
      </c>
      <c r="K882" s="120"/>
      <c r="L882" s="120"/>
      <c r="M882" s="120">
        <v>995</v>
      </c>
      <c r="N882" s="120">
        <v>1101</v>
      </c>
      <c r="O882" s="120">
        <v>102</v>
      </c>
      <c r="P882" s="120" t="s">
        <v>207</v>
      </c>
      <c r="Q882" s="120">
        <v>72</v>
      </c>
      <c r="R882" s="120" t="s">
        <v>207</v>
      </c>
      <c r="S882" s="120">
        <v>78</v>
      </c>
      <c r="T882" s="120" t="s">
        <v>207</v>
      </c>
      <c r="U882" s="120">
        <v>55</v>
      </c>
      <c r="V882" s="120" t="s">
        <v>207</v>
      </c>
      <c r="W882" s="120">
        <v>48</v>
      </c>
      <c r="X882" s="120" t="s">
        <v>207</v>
      </c>
      <c r="Y882" s="120">
        <v>16</v>
      </c>
      <c r="Z882" s="120" t="s">
        <v>207</v>
      </c>
      <c r="AA882" s="120">
        <v>22</v>
      </c>
      <c r="AB882" s="120" t="s">
        <v>207</v>
      </c>
      <c r="AC882" s="120">
        <v>20</v>
      </c>
      <c r="AD882" s="120" t="s">
        <v>207</v>
      </c>
      <c r="AE882" s="120">
        <v>50</v>
      </c>
      <c r="AF882" s="120" t="s">
        <v>207</v>
      </c>
      <c r="AG882" s="120">
        <v>81</v>
      </c>
      <c r="AH882" s="120" t="s">
        <v>207</v>
      </c>
      <c r="AI882" s="120">
        <v>140</v>
      </c>
      <c r="AJ882" s="120" t="s">
        <v>207</v>
      </c>
      <c r="AK882" s="120">
        <v>154</v>
      </c>
      <c r="AL882" s="120" t="s">
        <v>207</v>
      </c>
      <c r="AM882" s="117">
        <f t="shared" si="22"/>
        <v>838</v>
      </c>
    </row>
    <row r="883" spans="1:39" s="90" customFormat="1" ht="18" customHeight="1" x14ac:dyDescent="0.3">
      <c r="A883" s="114">
        <v>598</v>
      </c>
      <c r="B883" s="11" t="s">
        <v>1290</v>
      </c>
      <c r="C883" s="88" t="s">
        <v>268</v>
      </c>
      <c r="D883" s="88" t="s">
        <v>958</v>
      </c>
      <c r="E883" s="31" t="s">
        <v>48</v>
      </c>
      <c r="F883" s="85" t="s">
        <v>49</v>
      </c>
      <c r="G883" s="375"/>
      <c r="H883" s="365">
        <v>24</v>
      </c>
      <c r="I883" s="379"/>
      <c r="J883" s="365">
        <v>3</v>
      </c>
      <c r="K883" s="120"/>
      <c r="L883" s="120"/>
      <c r="M883" s="120">
        <v>6397</v>
      </c>
      <c r="N883" s="120">
        <v>6495</v>
      </c>
      <c r="O883" s="120">
        <v>641</v>
      </c>
      <c r="P883" s="120" t="s">
        <v>207</v>
      </c>
      <c r="Q883" s="120">
        <v>1583</v>
      </c>
      <c r="R883" s="120" t="s">
        <v>207</v>
      </c>
      <c r="S883" s="120">
        <v>452</v>
      </c>
      <c r="T883" s="120" t="s">
        <v>207</v>
      </c>
      <c r="U883" s="120">
        <v>251</v>
      </c>
      <c r="V883" s="120" t="s">
        <v>207</v>
      </c>
      <c r="W883" s="120">
        <v>715</v>
      </c>
      <c r="X883" s="120" t="s">
        <v>207</v>
      </c>
      <c r="Y883" s="120">
        <v>198</v>
      </c>
      <c r="Z883" s="120" t="s">
        <v>207</v>
      </c>
      <c r="AA883" s="120">
        <v>221</v>
      </c>
      <c r="AB883" s="120" t="s">
        <v>207</v>
      </c>
      <c r="AC883" s="120">
        <v>102</v>
      </c>
      <c r="AD883" s="120" t="s">
        <v>207</v>
      </c>
      <c r="AE883" s="120">
        <v>295</v>
      </c>
      <c r="AF883" s="120" t="s">
        <v>207</v>
      </c>
      <c r="AG883" s="120">
        <v>442</v>
      </c>
      <c r="AH883" s="120" t="s">
        <v>207</v>
      </c>
      <c r="AI883" s="120">
        <v>668</v>
      </c>
      <c r="AJ883" s="120" t="s">
        <v>207</v>
      </c>
      <c r="AK883" s="120">
        <v>859</v>
      </c>
      <c r="AL883" s="120" t="s">
        <v>207</v>
      </c>
      <c r="AM883" s="117">
        <f t="shared" si="22"/>
        <v>6427</v>
      </c>
    </row>
    <row r="884" spans="1:39" s="90" customFormat="1" ht="18" customHeight="1" x14ac:dyDescent="0.3">
      <c r="A884" s="297">
        <v>599</v>
      </c>
      <c r="B884" s="11" t="s">
        <v>1291</v>
      </c>
      <c r="C884" s="88" t="s">
        <v>268</v>
      </c>
      <c r="D884" s="88" t="s">
        <v>958</v>
      </c>
      <c r="E884" s="31" t="s">
        <v>48</v>
      </c>
      <c r="F884" s="85" t="s">
        <v>49</v>
      </c>
      <c r="G884" s="375"/>
      <c r="H884" s="365">
        <v>25</v>
      </c>
      <c r="I884" s="379"/>
      <c r="J884" s="365">
        <v>3</v>
      </c>
      <c r="K884" s="120"/>
      <c r="L884" s="120"/>
      <c r="M884" s="120">
        <v>4679</v>
      </c>
      <c r="N884" s="120">
        <v>2440</v>
      </c>
      <c r="O884" s="120">
        <v>391</v>
      </c>
      <c r="P884" s="120" t="s">
        <v>207</v>
      </c>
      <c r="Q884" s="120">
        <v>469</v>
      </c>
      <c r="R884" s="120" t="s">
        <v>207</v>
      </c>
      <c r="S884" s="120">
        <v>335</v>
      </c>
      <c r="T884" s="120" t="s">
        <v>207</v>
      </c>
      <c r="U884" s="120">
        <v>277</v>
      </c>
      <c r="V884" s="120" t="s">
        <v>207</v>
      </c>
      <c r="W884" s="120">
        <v>285</v>
      </c>
      <c r="X884" s="120" t="s">
        <v>207</v>
      </c>
      <c r="Y884" s="120">
        <v>268</v>
      </c>
      <c r="Z884" s="120" t="s">
        <v>207</v>
      </c>
      <c r="AA884" s="120">
        <v>332</v>
      </c>
      <c r="AB884" s="120" t="s">
        <v>207</v>
      </c>
      <c r="AC884" s="120">
        <v>146</v>
      </c>
      <c r="AD884" s="120" t="s">
        <v>207</v>
      </c>
      <c r="AE884" s="120">
        <v>362</v>
      </c>
      <c r="AF884" s="120" t="s">
        <v>207</v>
      </c>
      <c r="AG884" s="120">
        <v>482</v>
      </c>
      <c r="AH884" s="120" t="s">
        <v>207</v>
      </c>
      <c r="AI884" s="120">
        <v>509</v>
      </c>
      <c r="AJ884" s="120" t="s">
        <v>207</v>
      </c>
      <c r="AK884" s="120">
        <v>705</v>
      </c>
      <c r="AL884" s="120" t="s">
        <v>207</v>
      </c>
      <c r="AM884" s="117">
        <f t="shared" si="22"/>
        <v>4561</v>
      </c>
    </row>
    <row r="885" spans="1:39" s="90" customFormat="1" ht="18" customHeight="1" x14ac:dyDescent="0.3">
      <c r="A885" s="114">
        <v>600</v>
      </c>
      <c r="B885" s="11" t="s">
        <v>1292</v>
      </c>
      <c r="C885" s="88" t="s">
        <v>268</v>
      </c>
      <c r="D885" s="88" t="s">
        <v>958</v>
      </c>
      <c r="E885" s="31" t="s">
        <v>48</v>
      </c>
      <c r="F885" s="85" t="s">
        <v>49</v>
      </c>
      <c r="G885" s="375"/>
      <c r="H885" s="365">
        <v>26</v>
      </c>
      <c r="I885" s="379"/>
      <c r="J885" s="365">
        <v>3</v>
      </c>
      <c r="K885" s="120"/>
      <c r="L885" s="120"/>
      <c r="M885" s="120">
        <v>7676</v>
      </c>
      <c r="N885" s="120">
        <v>7498</v>
      </c>
      <c r="O885" s="120">
        <v>734</v>
      </c>
      <c r="P885" s="120" t="s">
        <v>207</v>
      </c>
      <c r="Q885" s="120">
        <v>690</v>
      </c>
      <c r="R885" s="120" t="s">
        <v>207</v>
      </c>
      <c r="S885" s="120">
        <v>526</v>
      </c>
      <c r="T885" s="120" t="s">
        <v>207</v>
      </c>
      <c r="U885" s="120">
        <v>423</v>
      </c>
      <c r="V885" s="120" t="s">
        <v>207</v>
      </c>
      <c r="W885" s="120">
        <v>315</v>
      </c>
      <c r="X885" s="120" t="s">
        <v>207</v>
      </c>
      <c r="Y885" s="120">
        <v>299</v>
      </c>
      <c r="Z885" s="120" t="s">
        <v>207</v>
      </c>
      <c r="AA885" s="120">
        <v>350</v>
      </c>
      <c r="AB885" s="120" t="s">
        <v>207</v>
      </c>
      <c r="AC885" s="120">
        <v>308</v>
      </c>
      <c r="AD885" s="120" t="s">
        <v>207</v>
      </c>
      <c r="AE885" s="120">
        <v>642</v>
      </c>
      <c r="AF885" s="120" t="s">
        <v>207</v>
      </c>
      <c r="AG885" s="120">
        <v>633</v>
      </c>
      <c r="AH885" s="120" t="s">
        <v>207</v>
      </c>
      <c r="AI885" s="120">
        <v>709</v>
      </c>
      <c r="AJ885" s="120" t="s">
        <v>207</v>
      </c>
      <c r="AK885" s="120">
        <v>997</v>
      </c>
      <c r="AL885" s="120" t="s">
        <v>207</v>
      </c>
      <c r="AM885" s="117">
        <f t="shared" si="22"/>
        <v>6626</v>
      </c>
    </row>
    <row r="886" spans="1:39" s="90" customFormat="1" ht="18" customHeight="1" x14ac:dyDescent="0.3">
      <c r="A886" s="114">
        <v>601</v>
      </c>
      <c r="B886" s="11" t="s">
        <v>1293</v>
      </c>
      <c r="C886" s="88" t="s">
        <v>268</v>
      </c>
      <c r="D886" s="88" t="s">
        <v>958</v>
      </c>
      <c r="E886" s="31" t="s">
        <v>48</v>
      </c>
      <c r="F886" s="85" t="s">
        <v>49</v>
      </c>
      <c r="G886" s="375"/>
      <c r="H886" s="365">
        <v>24</v>
      </c>
      <c r="I886" s="379"/>
      <c r="J886" s="365">
        <v>3</v>
      </c>
      <c r="K886" s="120"/>
      <c r="L886" s="120"/>
      <c r="M886" s="120">
        <v>5215</v>
      </c>
      <c r="N886" s="120">
        <v>9876</v>
      </c>
      <c r="O886" s="120">
        <v>556</v>
      </c>
      <c r="P886" s="120" t="s">
        <v>207</v>
      </c>
      <c r="Q886" s="120">
        <v>402</v>
      </c>
      <c r="R886" s="120" t="s">
        <v>207</v>
      </c>
      <c r="S886" s="120">
        <v>441</v>
      </c>
      <c r="T886" s="120" t="s">
        <v>207</v>
      </c>
      <c r="U886" s="120">
        <v>265</v>
      </c>
      <c r="V886" s="120" t="s">
        <v>207</v>
      </c>
      <c r="W886" s="120">
        <v>305</v>
      </c>
      <c r="X886" s="120" t="s">
        <v>207</v>
      </c>
      <c r="Y886" s="120">
        <v>329</v>
      </c>
      <c r="Z886" s="120" t="s">
        <v>207</v>
      </c>
      <c r="AA886" s="120">
        <v>308</v>
      </c>
      <c r="AB886" s="120" t="s">
        <v>207</v>
      </c>
      <c r="AC886" s="120">
        <v>217</v>
      </c>
      <c r="AD886" s="120" t="s">
        <v>207</v>
      </c>
      <c r="AE886" s="120">
        <v>394</v>
      </c>
      <c r="AF886" s="120" t="s">
        <v>207</v>
      </c>
      <c r="AG886" s="120">
        <v>497</v>
      </c>
      <c r="AH886" s="120" t="s">
        <v>207</v>
      </c>
      <c r="AI886" s="120">
        <v>450</v>
      </c>
      <c r="AJ886" s="120" t="s">
        <v>207</v>
      </c>
      <c r="AK886" s="120">
        <v>651</v>
      </c>
      <c r="AL886" s="120" t="s">
        <v>207</v>
      </c>
      <c r="AM886" s="117">
        <f t="shared" si="22"/>
        <v>4815</v>
      </c>
    </row>
    <row r="887" spans="1:39" s="90" customFormat="1" ht="18" customHeight="1" x14ac:dyDescent="0.3">
      <c r="A887" s="297">
        <v>602</v>
      </c>
      <c r="B887" s="11" t="s">
        <v>1294</v>
      </c>
      <c r="C887" s="88" t="s">
        <v>268</v>
      </c>
      <c r="D887" s="88" t="s">
        <v>958</v>
      </c>
      <c r="E887" s="31" t="s">
        <v>48</v>
      </c>
      <c r="F887" s="85" t="s">
        <v>49</v>
      </c>
      <c r="G887" s="375"/>
      <c r="H887" s="365">
        <v>24</v>
      </c>
      <c r="I887" s="379"/>
      <c r="J887" s="365">
        <v>3</v>
      </c>
      <c r="K887" s="120"/>
      <c r="L887" s="120"/>
      <c r="M887" s="120">
        <v>4190</v>
      </c>
      <c r="N887" s="120">
        <v>4397</v>
      </c>
      <c r="O887" s="120">
        <v>449</v>
      </c>
      <c r="P887" s="120" t="s">
        <v>207</v>
      </c>
      <c r="Q887" s="120">
        <v>502</v>
      </c>
      <c r="R887" s="120" t="s">
        <v>207</v>
      </c>
      <c r="S887" s="120">
        <v>302</v>
      </c>
      <c r="T887" s="120" t="s">
        <v>207</v>
      </c>
      <c r="U887" s="120">
        <v>342</v>
      </c>
      <c r="V887" s="120" t="s">
        <v>207</v>
      </c>
      <c r="W887" s="120">
        <v>197</v>
      </c>
      <c r="X887" s="120" t="s">
        <v>207</v>
      </c>
      <c r="Y887" s="120">
        <v>256</v>
      </c>
      <c r="Z887" s="120" t="s">
        <v>207</v>
      </c>
      <c r="AA887" s="120">
        <v>266</v>
      </c>
      <c r="AB887" s="120" t="s">
        <v>207</v>
      </c>
      <c r="AC887" s="120">
        <v>98</v>
      </c>
      <c r="AD887" s="120" t="s">
        <v>207</v>
      </c>
      <c r="AE887" s="120">
        <v>275</v>
      </c>
      <c r="AF887" s="120" t="s">
        <v>207</v>
      </c>
      <c r="AG887" s="120">
        <v>441</v>
      </c>
      <c r="AH887" s="120" t="s">
        <v>207</v>
      </c>
      <c r="AI887" s="120">
        <v>389</v>
      </c>
      <c r="AJ887" s="120" t="s">
        <v>207</v>
      </c>
      <c r="AK887" s="120">
        <v>452</v>
      </c>
      <c r="AL887" s="120" t="s">
        <v>207</v>
      </c>
      <c r="AM887" s="117">
        <f t="shared" si="22"/>
        <v>3969</v>
      </c>
    </row>
    <row r="888" spans="1:39" s="90" customFormat="1" ht="18" customHeight="1" x14ac:dyDescent="0.3">
      <c r="A888" s="114">
        <v>603</v>
      </c>
      <c r="B888" s="11" t="s">
        <v>1295</v>
      </c>
      <c r="C888" s="88" t="s">
        <v>268</v>
      </c>
      <c r="D888" s="88" t="s">
        <v>958</v>
      </c>
      <c r="E888" s="31" t="s">
        <v>48</v>
      </c>
      <c r="F888" s="85" t="s">
        <v>49</v>
      </c>
      <c r="G888" s="375"/>
      <c r="H888" s="365">
        <v>25</v>
      </c>
      <c r="I888" s="379"/>
      <c r="J888" s="365">
        <v>2</v>
      </c>
      <c r="K888" s="120"/>
      <c r="L888" s="120"/>
      <c r="M888" s="120">
        <v>1777</v>
      </c>
      <c r="N888" s="120">
        <v>1343</v>
      </c>
      <c r="O888" s="120">
        <v>185</v>
      </c>
      <c r="P888" s="120" t="s">
        <v>207</v>
      </c>
      <c r="Q888" s="120">
        <v>185</v>
      </c>
      <c r="R888" s="120" t="s">
        <v>207</v>
      </c>
      <c r="S888" s="120">
        <v>185</v>
      </c>
      <c r="T888" s="120" t="s">
        <v>207</v>
      </c>
      <c r="U888" s="120">
        <v>185</v>
      </c>
      <c r="V888" s="120" t="s">
        <v>207</v>
      </c>
      <c r="W888" s="120">
        <v>185</v>
      </c>
      <c r="X888" s="120" t="s">
        <v>207</v>
      </c>
      <c r="Y888" s="120">
        <v>185</v>
      </c>
      <c r="Z888" s="120" t="s">
        <v>207</v>
      </c>
      <c r="AA888" s="120">
        <v>0</v>
      </c>
      <c r="AB888" s="120" t="s">
        <v>207</v>
      </c>
      <c r="AC888" s="120">
        <v>0</v>
      </c>
      <c r="AD888" s="120" t="s">
        <v>207</v>
      </c>
      <c r="AE888" s="120">
        <v>0</v>
      </c>
      <c r="AF888" s="120" t="s">
        <v>207</v>
      </c>
      <c r="AG888" s="120">
        <v>852</v>
      </c>
      <c r="AH888" s="120" t="s">
        <v>207</v>
      </c>
      <c r="AI888" s="120">
        <v>0</v>
      </c>
      <c r="AJ888" s="120" t="s">
        <v>207</v>
      </c>
      <c r="AK888" s="120">
        <v>145</v>
      </c>
      <c r="AL888" s="120" t="s">
        <v>207</v>
      </c>
      <c r="AM888" s="117">
        <f t="shared" si="22"/>
        <v>2107</v>
      </c>
    </row>
    <row r="889" spans="1:39" s="90" customFormat="1" ht="18" customHeight="1" x14ac:dyDescent="0.3">
      <c r="A889" s="114">
        <v>604</v>
      </c>
      <c r="B889" s="11" t="s">
        <v>1296</v>
      </c>
      <c r="C889" s="88" t="s">
        <v>268</v>
      </c>
      <c r="D889" s="88" t="s">
        <v>958</v>
      </c>
      <c r="E889" s="31" t="s">
        <v>48</v>
      </c>
      <c r="F889" s="85" t="s">
        <v>49</v>
      </c>
      <c r="G889" s="375"/>
      <c r="H889" s="365">
        <v>26</v>
      </c>
      <c r="I889" s="379"/>
      <c r="J889" s="365">
        <v>3</v>
      </c>
      <c r="K889" s="120"/>
      <c r="L889" s="120"/>
      <c r="M889" s="120">
        <v>4527</v>
      </c>
      <c r="N889" s="120">
        <v>4077</v>
      </c>
      <c r="O889" s="120">
        <v>680</v>
      </c>
      <c r="P889" s="120" t="s">
        <v>207</v>
      </c>
      <c r="Q889" s="120">
        <v>560</v>
      </c>
      <c r="R889" s="120" t="s">
        <v>207</v>
      </c>
      <c r="S889" s="120">
        <v>596</v>
      </c>
      <c r="T889" s="120" t="s">
        <v>207</v>
      </c>
      <c r="U889" s="120">
        <v>332</v>
      </c>
      <c r="V889" s="120" t="s">
        <v>207</v>
      </c>
      <c r="W889" s="120">
        <v>309</v>
      </c>
      <c r="X889" s="120" t="s">
        <v>207</v>
      </c>
      <c r="Y889" s="120">
        <v>353</v>
      </c>
      <c r="Z889" s="120" t="s">
        <v>207</v>
      </c>
      <c r="AA889" s="120">
        <v>411</v>
      </c>
      <c r="AB889" s="120" t="s">
        <v>207</v>
      </c>
      <c r="AC889" s="120">
        <v>61</v>
      </c>
      <c r="AD889" s="120" t="s">
        <v>207</v>
      </c>
      <c r="AE889" s="120">
        <v>18</v>
      </c>
      <c r="AF889" s="120" t="s">
        <v>207</v>
      </c>
      <c r="AG889" s="120">
        <v>357</v>
      </c>
      <c r="AH889" s="120" t="s">
        <v>207</v>
      </c>
      <c r="AI889" s="120">
        <v>509</v>
      </c>
      <c r="AJ889" s="120" t="s">
        <v>207</v>
      </c>
      <c r="AK889" s="120">
        <v>1001</v>
      </c>
      <c r="AL889" s="120" t="s">
        <v>207</v>
      </c>
      <c r="AM889" s="117">
        <f t="shared" si="22"/>
        <v>5187</v>
      </c>
    </row>
    <row r="890" spans="1:39" s="90" customFormat="1" ht="18" customHeight="1" x14ac:dyDescent="0.3">
      <c r="A890" s="297">
        <v>605</v>
      </c>
      <c r="B890" s="11" t="s">
        <v>1297</v>
      </c>
      <c r="C890" s="88" t="s">
        <v>268</v>
      </c>
      <c r="D890" s="88" t="s">
        <v>958</v>
      </c>
      <c r="E890" s="31" t="s">
        <v>48</v>
      </c>
      <c r="F890" s="85" t="s">
        <v>49</v>
      </c>
      <c r="G890" s="375"/>
      <c r="H890" s="365">
        <v>24</v>
      </c>
      <c r="I890" s="379"/>
      <c r="J890" s="365">
        <v>3</v>
      </c>
      <c r="K890" s="120"/>
      <c r="L890" s="120"/>
      <c r="M890" s="120">
        <v>5225</v>
      </c>
      <c r="N890" s="120">
        <v>5157</v>
      </c>
      <c r="O890" s="120">
        <v>499</v>
      </c>
      <c r="P890" s="120" t="s">
        <v>207</v>
      </c>
      <c r="Q890" s="120">
        <v>550</v>
      </c>
      <c r="R890" s="120" t="s">
        <v>207</v>
      </c>
      <c r="S890" s="120">
        <v>981</v>
      </c>
      <c r="T890" s="120" t="s">
        <v>207</v>
      </c>
      <c r="U890" s="120">
        <v>347</v>
      </c>
      <c r="V890" s="120" t="s">
        <v>207</v>
      </c>
      <c r="W890" s="120">
        <v>354</v>
      </c>
      <c r="X890" s="120" t="s">
        <v>207</v>
      </c>
      <c r="Y890" s="120">
        <v>305</v>
      </c>
      <c r="Z890" s="120" t="s">
        <v>207</v>
      </c>
      <c r="AA890" s="120">
        <v>333</v>
      </c>
      <c r="AB890" s="120" t="s">
        <v>207</v>
      </c>
      <c r="AC890" s="120">
        <v>197</v>
      </c>
      <c r="AD890" s="120" t="s">
        <v>207</v>
      </c>
      <c r="AE890" s="120">
        <v>485</v>
      </c>
      <c r="AF890" s="120" t="s">
        <v>207</v>
      </c>
      <c r="AG890" s="120">
        <v>497</v>
      </c>
      <c r="AH890" s="120" t="s">
        <v>207</v>
      </c>
      <c r="AI890" s="120">
        <v>424</v>
      </c>
      <c r="AJ890" s="120" t="s">
        <v>207</v>
      </c>
      <c r="AK890" s="120">
        <v>517</v>
      </c>
      <c r="AL890" s="120" t="s">
        <v>207</v>
      </c>
      <c r="AM890" s="117">
        <f t="shared" si="22"/>
        <v>5489</v>
      </c>
    </row>
    <row r="891" spans="1:39" s="90" customFormat="1" ht="18" customHeight="1" x14ac:dyDescent="0.3">
      <c r="A891" s="114">
        <v>606</v>
      </c>
      <c r="B891" s="11" t="s">
        <v>1298</v>
      </c>
      <c r="C891" s="88" t="s">
        <v>268</v>
      </c>
      <c r="D891" s="88" t="s">
        <v>958</v>
      </c>
      <c r="E891" s="31" t="s">
        <v>48</v>
      </c>
      <c r="F891" s="85" t="s">
        <v>49</v>
      </c>
      <c r="G891" s="375"/>
      <c r="H891" s="365">
        <v>9</v>
      </c>
      <c r="I891" s="379"/>
      <c r="J891" s="365">
        <v>1</v>
      </c>
      <c r="K891" s="120"/>
      <c r="L891" s="120"/>
      <c r="M891" s="120">
        <v>13404</v>
      </c>
      <c r="N891" s="120">
        <v>7481</v>
      </c>
      <c r="O891" s="120">
        <v>1649</v>
      </c>
      <c r="P891" s="120" t="s">
        <v>207</v>
      </c>
      <c r="Q891" s="120">
        <v>1232</v>
      </c>
      <c r="R891" s="120" t="s">
        <v>207</v>
      </c>
      <c r="S891" s="120">
        <v>1348</v>
      </c>
      <c r="T891" s="120" t="s">
        <v>207</v>
      </c>
      <c r="U891" s="120">
        <v>1191</v>
      </c>
      <c r="V891" s="120" t="s">
        <v>207</v>
      </c>
      <c r="W891" s="120">
        <v>500</v>
      </c>
      <c r="X891" s="120" t="s">
        <v>207</v>
      </c>
      <c r="Y891" s="120">
        <v>431</v>
      </c>
      <c r="Z891" s="120" t="s">
        <v>207</v>
      </c>
      <c r="AA891" s="120">
        <v>212</v>
      </c>
      <c r="AB891" s="120" t="s">
        <v>207</v>
      </c>
      <c r="AC891" s="120">
        <v>432</v>
      </c>
      <c r="AD891" s="120" t="s">
        <v>207</v>
      </c>
      <c r="AE891" s="120">
        <v>580</v>
      </c>
      <c r="AF891" s="120" t="s">
        <v>207</v>
      </c>
      <c r="AG891" s="120">
        <v>520</v>
      </c>
      <c r="AH891" s="120" t="s">
        <v>207</v>
      </c>
      <c r="AI891" s="120">
        <v>1263</v>
      </c>
      <c r="AJ891" s="120" t="s">
        <v>207</v>
      </c>
      <c r="AK891" s="120">
        <v>1551</v>
      </c>
      <c r="AL891" s="120" t="s">
        <v>207</v>
      </c>
      <c r="AM891" s="117">
        <f t="shared" si="22"/>
        <v>10909</v>
      </c>
    </row>
    <row r="892" spans="1:39" s="90" customFormat="1" ht="18" customHeight="1" x14ac:dyDescent="0.3">
      <c r="A892" s="114">
        <v>607</v>
      </c>
      <c r="B892" s="11" t="s">
        <v>1299</v>
      </c>
      <c r="C892" s="88" t="s">
        <v>268</v>
      </c>
      <c r="D892" s="88" t="s">
        <v>958</v>
      </c>
      <c r="E892" s="31" t="s">
        <v>48</v>
      </c>
      <c r="F892" s="85" t="s">
        <v>49</v>
      </c>
      <c r="G892" s="375"/>
      <c r="H892" s="365">
        <v>9</v>
      </c>
      <c r="I892" s="379"/>
      <c r="J892" s="365">
        <v>1</v>
      </c>
      <c r="K892" s="120"/>
      <c r="L892" s="120"/>
      <c r="M892" s="120">
        <v>7197</v>
      </c>
      <c r="N892" s="120">
        <v>1970</v>
      </c>
      <c r="O892" s="120">
        <v>399</v>
      </c>
      <c r="P892" s="120" t="s">
        <v>207</v>
      </c>
      <c r="Q892" s="120">
        <v>316</v>
      </c>
      <c r="R892" s="120" t="s">
        <v>207</v>
      </c>
      <c r="S892" s="120">
        <v>326</v>
      </c>
      <c r="T892" s="120" t="s">
        <v>207</v>
      </c>
      <c r="U892" s="120">
        <v>323</v>
      </c>
      <c r="V892" s="120" t="s">
        <v>207</v>
      </c>
      <c r="W892" s="120">
        <v>128</v>
      </c>
      <c r="X892" s="120" t="s">
        <v>207</v>
      </c>
      <c r="Y892" s="120">
        <v>460</v>
      </c>
      <c r="Z892" s="120" t="s">
        <v>207</v>
      </c>
      <c r="AA892" s="120">
        <v>272</v>
      </c>
      <c r="AB892" s="120" t="s">
        <v>207</v>
      </c>
      <c r="AC892" s="120">
        <v>179</v>
      </c>
      <c r="AD892" s="120" t="s">
        <v>207</v>
      </c>
      <c r="AE892" s="120">
        <v>440</v>
      </c>
      <c r="AF892" s="120" t="s">
        <v>207</v>
      </c>
      <c r="AG892" s="120">
        <v>500</v>
      </c>
      <c r="AH892" s="120" t="s">
        <v>207</v>
      </c>
      <c r="AI892" s="120">
        <v>524</v>
      </c>
      <c r="AJ892" s="120" t="s">
        <v>207</v>
      </c>
      <c r="AK892" s="120">
        <v>637</v>
      </c>
      <c r="AL892" s="120" t="s">
        <v>207</v>
      </c>
      <c r="AM892" s="117">
        <f t="shared" si="22"/>
        <v>4504</v>
      </c>
    </row>
    <row r="893" spans="1:39" s="90" customFormat="1" ht="18" customHeight="1" x14ac:dyDescent="0.3">
      <c r="A893" s="297">
        <v>608</v>
      </c>
      <c r="B893" s="11" t="s">
        <v>1300</v>
      </c>
      <c r="C893" s="88" t="s">
        <v>268</v>
      </c>
      <c r="D893" s="88" t="s">
        <v>958</v>
      </c>
      <c r="E893" s="31" t="s">
        <v>48</v>
      </c>
      <c r="F893" s="85" t="s">
        <v>49</v>
      </c>
      <c r="G893" s="375"/>
      <c r="H893" s="365">
        <v>10</v>
      </c>
      <c r="I893" s="379"/>
      <c r="J893" s="365">
        <v>1</v>
      </c>
      <c r="K893" s="120"/>
      <c r="L893" s="120"/>
      <c r="M893" s="120">
        <v>5826</v>
      </c>
      <c r="N893" s="120">
        <v>5340</v>
      </c>
      <c r="O893" s="120">
        <v>398</v>
      </c>
      <c r="P893" s="120" t="s">
        <v>207</v>
      </c>
      <c r="Q893" s="120">
        <v>422</v>
      </c>
      <c r="R893" s="120" t="s">
        <v>207</v>
      </c>
      <c r="S893" s="120">
        <v>643</v>
      </c>
      <c r="T893" s="120" t="s">
        <v>207</v>
      </c>
      <c r="U893" s="120">
        <v>342</v>
      </c>
      <c r="V893" s="120" t="s">
        <v>207</v>
      </c>
      <c r="W893" s="120">
        <v>363</v>
      </c>
      <c r="X893" s="120" t="s">
        <v>207</v>
      </c>
      <c r="Y893" s="120">
        <v>616</v>
      </c>
      <c r="Z893" s="120" t="s">
        <v>207</v>
      </c>
      <c r="AA893" s="120">
        <v>422</v>
      </c>
      <c r="AB893" s="120" t="s">
        <v>207</v>
      </c>
      <c r="AC893" s="120">
        <v>252</v>
      </c>
      <c r="AD893" s="120" t="s">
        <v>207</v>
      </c>
      <c r="AE893" s="120">
        <v>473</v>
      </c>
      <c r="AF893" s="120" t="s">
        <v>207</v>
      </c>
      <c r="AG893" s="120">
        <v>387</v>
      </c>
      <c r="AH893" s="120" t="s">
        <v>207</v>
      </c>
      <c r="AI893" s="120">
        <v>390</v>
      </c>
      <c r="AJ893" s="120" t="s">
        <v>207</v>
      </c>
      <c r="AK893" s="120">
        <v>627</v>
      </c>
      <c r="AL893" s="120" t="s">
        <v>207</v>
      </c>
      <c r="AM893" s="117">
        <f t="shared" si="22"/>
        <v>5335</v>
      </c>
    </row>
    <row r="894" spans="1:39" s="90" customFormat="1" ht="18" customHeight="1" x14ac:dyDescent="0.3">
      <c r="A894" s="114">
        <v>609</v>
      </c>
      <c r="B894" s="11" t="s">
        <v>1301</v>
      </c>
      <c r="C894" s="88" t="s">
        <v>268</v>
      </c>
      <c r="D894" s="88" t="s">
        <v>958</v>
      </c>
      <c r="E894" s="31" t="s">
        <v>48</v>
      </c>
      <c r="F894" s="85" t="s">
        <v>49</v>
      </c>
      <c r="G894" s="375"/>
      <c r="H894" s="365">
        <v>12</v>
      </c>
      <c r="I894" s="379"/>
      <c r="J894" s="365">
        <v>1</v>
      </c>
      <c r="K894" s="120"/>
      <c r="L894" s="120"/>
      <c r="M894" s="120">
        <v>6189</v>
      </c>
      <c r="N894" s="120">
        <v>6429</v>
      </c>
      <c r="O894" s="120">
        <v>511</v>
      </c>
      <c r="P894" s="120" t="s">
        <v>207</v>
      </c>
      <c r="Q894" s="120">
        <v>642</v>
      </c>
      <c r="R894" s="120" t="s">
        <v>207</v>
      </c>
      <c r="S894" s="120">
        <v>747</v>
      </c>
      <c r="T894" s="120" t="s">
        <v>207</v>
      </c>
      <c r="U894" s="120">
        <v>1229</v>
      </c>
      <c r="V894" s="120" t="s">
        <v>207</v>
      </c>
      <c r="W894" s="120">
        <v>353</v>
      </c>
      <c r="X894" s="120" t="s">
        <v>207</v>
      </c>
      <c r="Y894" s="120">
        <v>585</v>
      </c>
      <c r="Z894" s="120" t="s">
        <v>207</v>
      </c>
      <c r="AA894" s="120">
        <v>447</v>
      </c>
      <c r="AB894" s="120" t="s">
        <v>207</v>
      </c>
      <c r="AC894" s="120">
        <v>234</v>
      </c>
      <c r="AD894" s="120" t="s">
        <v>207</v>
      </c>
      <c r="AE894" s="120">
        <v>698</v>
      </c>
      <c r="AF894" s="120" t="s">
        <v>207</v>
      </c>
      <c r="AG894" s="120">
        <v>418</v>
      </c>
      <c r="AH894" s="120" t="s">
        <v>207</v>
      </c>
      <c r="AI894" s="120">
        <v>361</v>
      </c>
      <c r="AJ894" s="120" t="s">
        <v>207</v>
      </c>
      <c r="AK894" s="120">
        <v>446</v>
      </c>
      <c r="AL894" s="120" t="s">
        <v>207</v>
      </c>
      <c r="AM894" s="117">
        <f t="shared" si="22"/>
        <v>6671</v>
      </c>
    </row>
    <row r="895" spans="1:39" s="90" customFormat="1" ht="18" customHeight="1" x14ac:dyDescent="0.3">
      <c r="A895" s="114">
        <v>610</v>
      </c>
      <c r="B895" s="11" t="s">
        <v>1302</v>
      </c>
      <c r="C895" s="88" t="s">
        <v>268</v>
      </c>
      <c r="D895" s="88" t="s">
        <v>958</v>
      </c>
      <c r="E895" s="31" t="s">
        <v>48</v>
      </c>
      <c r="F895" s="85" t="s">
        <v>49</v>
      </c>
      <c r="G895" s="375"/>
      <c r="H895" s="365">
        <v>9</v>
      </c>
      <c r="I895" s="379"/>
      <c r="J895" s="365">
        <v>1</v>
      </c>
      <c r="K895" s="120"/>
      <c r="L895" s="120"/>
      <c r="M895" s="120">
        <v>7977</v>
      </c>
      <c r="N895" s="120">
        <v>8119</v>
      </c>
      <c r="O895" s="120">
        <v>501</v>
      </c>
      <c r="P895" s="120" t="s">
        <v>207</v>
      </c>
      <c r="Q895" s="120">
        <v>449</v>
      </c>
      <c r="R895" s="120" t="s">
        <v>207</v>
      </c>
      <c r="S895" s="120">
        <v>393</v>
      </c>
      <c r="T895" s="120" t="s">
        <v>207</v>
      </c>
      <c r="U895" s="120">
        <v>364</v>
      </c>
      <c r="V895" s="120" t="s">
        <v>207</v>
      </c>
      <c r="W895" s="120">
        <v>570</v>
      </c>
      <c r="X895" s="120" t="s">
        <v>207</v>
      </c>
      <c r="Y895" s="120">
        <v>647</v>
      </c>
      <c r="Z895" s="120" t="s">
        <v>207</v>
      </c>
      <c r="AA895" s="120">
        <v>530</v>
      </c>
      <c r="AB895" s="120" t="s">
        <v>207</v>
      </c>
      <c r="AC895" s="120">
        <v>368</v>
      </c>
      <c r="AD895" s="120" t="s">
        <v>207</v>
      </c>
      <c r="AE895" s="120">
        <v>533</v>
      </c>
      <c r="AF895" s="120" t="s">
        <v>207</v>
      </c>
      <c r="AG895" s="120">
        <v>418</v>
      </c>
      <c r="AH895" s="120" t="s">
        <v>207</v>
      </c>
      <c r="AI895" s="120">
        <v>645</v>
      </c>
      <c r="AJ895" s="120" t="s">
        <v>207</v>
      </c>
      <c r="AK895" s="120">
        <v>745</v>
      </c>
      <c r="AL895" s="120" t="s">
        <v>207</v>
      </c>
      <c r="AM895" s="117">
        <f t="shared" si="22"/>
        <v>6163</v>
      </c>
    </row>
    <row r="896" spans="1:39" s="90" customFormat="1" ht="18" customHeight="1" x14ac:dyDescent="0.3">
      <c r="A896" s="297">
        <v>611</v>
      </c>
      <c r="B896" s="11" t="s">
        <v>1303</v>
      </c>
      <c r="C896" s="88" t="s">
        <v>268</v>
      </c>
      <c r="D896" s="88" t="s">
        <v>958</v>
      </c>
      <c r="E896" s="31" t="s">
        <v>48</v>
      </c>
      <c r="F896" s="85" t="s">
        <v>49</v>
      </c>
      <c r="G896" s="375"/>
      <c r="H896" s="365">
        <v>12</v>
      </c>
      <c r="I896" s="379"/>
      <c r="J896" s="365">
        <v>1</v>
      </c>
      <c r="K896" s="120"/>
      <c r="L896" s="120"/>
      <c r="M896" s="120">
        <v>3636</v>
      </c>
      <c r="N896" s="120">
        <v>4997</v>
      </c>
      <c r="O896" s="120">
        <v>475</v>
      </c>
      <c r="P896" s="120" t="s">
        <v>207</v>
      </c>
      <c r="Q896" s="120">
        <v>388</v>
      </c>
      <c r="R896" s="120" t="s">
        <v>207</v>
      </c>
      <c r="S896" s="120">
        <v>285</v>
      </c>
      <c r="T896" s="120" t="s">
        <v>207</v>
      </c>
      <c r="U896" s="120">
        <v>426</v>
      </c>
      <c r="V896" s="120" t="s">
        <v>207</v>
      </c>
      <c r="W896" s="120">
        <v>399</v>
      </c>
      <c r="X896" s="120" t="s">
        <v>207</v>
      </c>
      <c r="Y896" s="120">
        <v>434</v>
      </c>
      <c r="Z896" s="120" t="s">
        <v>207</v>
      </c>
      <c r="AA896" s="120">
        <v>284</v>
      </c>
      <c r="AB896" s="120" t="s">
        <v>207</v>
      </c>
      <c r="AC896" s="120">
        <v>238</v>
      </c>
      <c r="AD896" s="120" t="s">
        <v>207</v>
      </c>
      <c r="AE896" s="120">
        <v>398</v>
      </c>
      <c r="AF896" s="120" t="s">
        <v>207</v>
      </c>
      <c r="AG896" s="120">
        <v>347</v>
      </c>
      <c r="AH896" s="120" t="s">
        <v>207</v>
      </c>
      <c r="AI896" s="120">
        <v>354</v>
      </c>
      <c r="AJ896" s="120" t="s">
        <v>207</v>
      </c>
      <c r="AK896" s="120">
        <v>508</v>
      </c>
      <c r="AL896" s="120" t="s">
        <v>207</v>
      </c>
      <c r="AM896" s="117">
        <f t="shared" si="22"/>
        <v>4536</v>
      </c>
    </row>
    <row r="897" spans="1:39" s="90" customFormat="1" ht="18" customHeight="1" x14ac:dyDescent="0.3">
      <c r="A897" s="114">
        <v>612</v>
      </c>
      <c r="B897" s="11" t="s">
        <v>1304</v>
      </c>
      <c r="C897" s="88" t="s">
        <v>268</v>
      </c>
      <c r="D897" s="88" t="s">
        <v>958</v>
      </c>
      <c r="E897" s="31" t="s">
        <v>48</v>
      </c>
      <c r="F897" s="85" t="s">
        <v>49</v>
      </c>
      <c r="G897" s="375"/>
      <c r="H897" s="365">
        <v>10</v>
      </c>
      <c r="I897" s="379"/>
      <c r="J897" s="365">
        <v>1</v>
      </c>
      <c r="K897" s="120"/>
      <c r="L897" s="120"/>
      <c r="M897" s="120">
        <v>3289</v>
      </c>
      <c r="N897" s="120">
        <v>3594</v>
      </c>
      <c r="O897" s="120">
        <v>398</v>
      </c>
      <c r="P897" s="120" t="s">
        <v>207</v>
      </c>
      <c r="Q897" s="120">
        <v>435</v>
      </c>
      <c r="R897" s="120" t="s">
        <v>207</v>
      </c>
      <c r="S897" s="120">
        <v>257</v>
      </c>
      <c r="T897" s="120" t="s">
        <v>207</v>
      </c>
      <c r="U897" s="120">
        <v>344</v>
      </c>
      <c r="V897" s="120" t="s">
        <v>207</v>
      </c>
      <c r="W897" s="120">
        <v>313</v>
      </c>
      <c r="X897" s="120" t="s">
        <v>207</v>
      </c>
      <c r="Y897" s="120">
        <v>312</v>
      </c>
      <c r="Z897" s="120" t="s">
        <v>207</v>
      </c>
      <c r="AA897" s="120">
        <v>534</v>
      </c>
      <c r="AB897" s="120" t="s">
        <v>207</v>
      </c>
      <c r="AC897" s="120">
        <v>456</v>
      </c>
      <c r="AD897" s="120" t="s">
        <v>207</v>
      </c>
      <c r="AE897" s="120">
        <v>421</v>
      </c>
      <c r="AF897" s="120" t="s">
        <v>207</v>
      </c>
      <c r="AG897" s="120">
        <v>292</v>
      </c>
      <c r="AH897" s="120" t="s">
        <v>207</v>
      </c>
      <c r="AI897" s="120">
        <v>285</v>
      </c>
      <c r="AJ897" s="120" t="s">
        <v>207</v>
      </c>
      <c r="AK897" s="120">
        <v>480</v>
      </c>
      <c r="AL897" s="120" t="s">
        <v>207</v>
      </c>
      <c r="AM897" s="117">
        <f t="shared" si="22"/>
        <v>4527</v>
      </c>
    </row>
    <row r="898" spans="1:39" s="90" customFormat="1" ht="18" customHeight="1" x14ac:dyDescent="0.3">
      <c r="A898" s="114">
        <v>613</v>
      </c>
      <c r="B898" s="11" t="s">
        <v>1305</v>
      </c>
      <c r="C898" s="88" t="s">
        <v>268</v>
      </c>
      <c r="D898" s="88" t="s">
        <v>958</v>
      </c>
      <c r="E898" s="31" t="s">
        <v>48</v>
      </c>
      <c r="F898" s="85" t="s">
        <v>49</v>
      </c>
      <c r="G898" s="375"/>
      <c r="H898" s="365">
        <v>9</v>
      </c>
      <c r="I898" s="379"/>
      <c r="J898" s="365">
        <v>1</v>
      </c>
      <c r="K898" s="120"/>
      <c r="L898" s="120"/>
      <c r="M898" s="120">
        <v>5018</v>
      </c>
      <c r="N898" s="120">
        <v>2499</v>
      </c>
      <c r="O898" s="120">
        <v>438</v>
      </c>
      <c r="P898" s="120" t="s">
        <v>207</v>
      </c>
      <c r="Q898" s="120">
        <v>303</v>
      </c>
      <c r="R898" s="120" t="s">
        <v>207</v>
      </c>
      <c r="S898" s="120">
        <v>331</v>
      </c>
      <c r="T898" s="120" t="s">
        <v>207</v>
      </c>
      <c r="U898" s="120">
        <v>300</v>
      </c>
      <c r="V898" s="120" t="s">
        <v>207</v>
      </c>
      <c r="W898" s="120">
        <v>381</v>
      </c>
      <c r="X898" s="120" t="s">
        <v>207</v>
      </c>
      <c r="Y898" s="120">
        <v>246</v>
      </c>
      <c r="Z898" s="120" t="s">
        <v>207</v>
      </c>
      <c r="AA898" s="120">
        <v>254</v>
      </c>
      <c r="AB898" s="120" t="s">
        <v>207</v>
      </c>
      <c r="AC898" s="120">
        <v>104</v>
      </c>
      <c r="AD898" s="120" t="s">
        <v>207</v>
      </c>
      <c r="AE898" s="120">
        <v>310</v>
      </c>
      <c r="AF898" s="120" t="s">
        <v>207</v>
      </c>
      <c r="AG898" s="120">
        <v>278</v>
      </c>
      <c r="AH898" s="120" t="s">
        <v>207</v>
      </c>
      <c r="AI898" s="120">
        <v>311</v>
      </c>
      <c r="AJ898" s="120" t="s">
        <v>207</v>
      </c>
      <c r="AK898" s="120">
        <v>405</v>
      </c>
      <c r="AL898" s="120" t="s">
        <v>207</v>
      </c>
      <c r="AM898" s="117">
        <f t="shared" si="22"/>
        <v>3661</v>
      </c>
    </row>
    <row r="899" spans="1:39" s="90" customFormat="1" ht="18" customHeight="1" x14ac:dyDescent="0.3">
      <c r="A899" s="297">
        <v>614</v>
      </c>
      <c r="B899" s="11" t="s">
        <v>1306</v>
      </c>
      <c r="C899" s="88" t="s">
        <v>268</v>
      </c>
      <c r="D899" s="88" t="s">
        <v>958</v>
      </c>
      <c r="E899" s="31" t="s">
        <v>48</v>
      </c>
      <c r="F899" s="85" t="s">
        <v>49</v>
      </c>
      <c r="G899" s="375"/>
      <c r="H899" s="365">
        <v>10</v>
      </c>
      <c r="I899" s="379"/>
      <c r="J899" s="365">
        <v>1</v>
      </c>
      <c r="K899" s="120"/>
      <c r="L899" s="120"/>
      <c r="M899" s="120">
        <v>1985</v>
      </c>
      <c r="N899" s="120">
        <v>2082</v>
      </c>
      <c r="O899" s="120">
        <v>246</v>
      </c>
      <c r="P899" s="120" t="s">
        <v>207</v>
      </c>
      <c r="Q899" s="120">
        <v>179</v>
      </c>
      <c r="R899" s="120" t="s">
        <v>207</v>
      </c>
      <c r="S899" s="120">
        <v>178</v>
      </c>
      <c r="T899" s="120" t="s">
        <v>207</v>
      </c>
      <c r="U899" s="120">
        <v>147</v>
      </c>
      <c r="V899" s="120" t="s">
        <v>207</v>
      </c>
      <c r="W899" s="120">
        <v>117</v>
      </c>
      <c r="X899" s="120" t="s">
        <v>207</v>
      </c>
      <c r="Y899" s="120">
        <v>95</v>
      </c>
      <c r="Z899" s="120" t="s">
        <v>207</v>
      </c>
      <c r="AA899" s="120">
        <v>111</v>
      </c>
      <c r="AB899" s="120" t="s">
        <v>207</v>
      </c>
      <c r="AC899" s="120">
        <v>126</v>
      </c>
      <c r="AD899" s="120" t="s">
        <v>207</v>
      </c>
      <c r="AE899" s="120">
        <v>140</v>
      </c>
      <c r="AF899" s="120" t="s">
        <v>207</v>
      </c>
      <c r="AG899" s="120">
        <v>220</v>
      </c>
      <c r="AH899" s="120" t="s">
        <v>207</v>
      </c>
      <c r="AI899" s="120">
        <v>204</v>
      </c>
      <c r="AJ899" s="120" t="s">
        <v>207</v>
      </c>
      <c r="AK899" s="120">
        <v>281</v>
      </c>
      <c r="AL899" s="120" t="s">
        <v>207</v>
      </c>
      <c r="AM899" s="117">
        <f t="shared" si="22"/>
        <v>2044</v>
      </c>
    </row>
    <row r="900" spans="1:39" s="90" customFormat="1" ht="18" customHeight="1" x14ac:dyDescent="0.3">
      <c r="A900" s="114">
        <v>615</v>
      </c>
      <c r="B900" s="11" t="s">
        <v>1307</v>
      </c>
      <c r="C900" s="88" t="s">
        <v>268</v>
      </c>
      <c r="D900" s="88" t="s">
        <v>958</v>
      </c>
      <c r="E900" s="31" t="s">
        <v>48</v>
      </c>
      <c r="F900" s="85" t="s">
        <v>49</v>
      </c>
      <c r="G900" s="375"/>
      <c r="H900" s="365">
        <v>12</v>
      </c>
      <c r="I900" s="379"/>
      <c r="J900" s="365">
        <v>1</v>
      </c>
      <c r="K900" s="120"/>
      <c r="L900" s="120"/>
      <c r="M900" s="120"/>
      <c r="N900" s="120"/>
      <c r="O900" s="120"/>
      <c r="P900" s="120" t="s">
        <v>207</v>
      </c>
      <c r="Q900" s="120"/>
      <c r="R900" s="120" t="s">
        <v>207</v>
      </c>
      <c r="S900" s="120"/>
      <c r="T900" s="120" t="s">
        <v>207</v>
      </c>
      <c r="U900" s="120"/>
      <c r="V900" s="120" t="s">
        <v>207</v>
      </c>
      <c r="W900" s="120"/>
      <c r="X900" s="120" t="s">
        <v>207</v>
      </c>
      <c r="Y900" s="120"/>
      <c r="Z900" s="120" t="s">
        <v>207</v>
      </c>
      <c r="AA900" s="120"/>
      <c r="AB900" s="120" t="s">
        <v>207</v>
      </c>
      <c r="AC900" s="120"/>
      <c r="AD900" s="120" t="s">
        <v>207</v>
      </c>
      <c r="AE900" s="120"/>
      <c r="AF900" s="120" t="s">
        <v>207</v>
      </c>
      <c r="AG900" s="120"/>
      <c r="AH900" s="120" t="s">
        <v>207</v>
      </c>
      <c r="AI900" s="120"/>
      <c r="AJ900" s="120" t="s">
        <v>207</v>
      </c>
      <c r="AK900" s="120"/>
      <c r="AL900" s="120" t="s">
        <v>207</v>
      </c>
      <c r="AM900" s="117">
        <f t="shared" si="22"/>
        <v>0</v>
      </c>
    </row>
    <row r="901" spans="1:39" s="90" customFormat="1" ht="18" customHeight="1" x14ac:dyDescent="0.3">
      <c r="A901" s="114">
        <v>616</v>
      </c>
      <c r="B901" s="11" t="s">
        <v>1308</v>
      </c>
      <c r="C901" s="88" t="s">
        <v>268</v>
      </c>
      <c r="D901" s="88" t="s">
        <v>958</v>
      </c>
      <c r="E901" s="31" t="s">
        <v>48</v>
      </c>
      <c r="F901" s="85" t="s">
        <v>49</v>
      </c>
      <c r="G901" s="375"/>
      <c r="H901" s="365">
        <v>12</v>
      </c>
      <c r="I901" s="379"/>
      <c r="J901" s="365">
        <v>1</v>
      </c>
      <c r="K901" s="120"/>
      <c r="L901" s="120"/>
      <c r="M901" s="120">
        <v>2351</v>
      </c>
      <c r="N901" s="120"/>
      <c r="O901" s="120"/>
      <c r="P901" s="120" t="s">
        <v>207</v>
      </c>
      <c r="Q901" s="120"/>
      <c r="R901" s="120" t="s">
        <v>207</v>
      </c>
      <c r="S901" s="120"/>
      <c r="T901" s="120" t="s">
        <v>207</v>
      </c>
      <c r="U901" s="120"/>
      <c r="V901" s="120" t="s">
        <v>207</v>
      </c>
      <c r="W901" s="120"/>
      <c r="X901" s="120" t="s">
        <v>207</v>
      </c>
      <c r="Y901" s="120"/>
      <c r="Z901" s="120" t="s">
        <v>207</v>
      </c>
      <c r="AA901" s="120"/>
      <c r="AB901" s="120" t="s">
        <v>207</v>
      </c>
      <c r="AC901" s="120"/>
      <c r="AD901" s="120" t="s">
        <v>207</v>
      </c>
      <c r="AE901" s="120"/>
      <c r="AF901" s="120" t="s">
        <v>207</v>
      </c>
      <c r="AG901" s="120"/>
      <c r="AH901" s="120" t="s">
        <v>207</v>
      </c>
      <c r="AI901" s="120"/>
      <c r="AJ901" s="120" t="s">
        <v>207</v>
      </c>
      <c r="AK901" s="120"/>
      <c r="AL901" s="120" t="s">
        <v>207</v>
      </c>
      <c r="AM901" s="117">
        <f t="shared" si="22"/>
        <v>0</v>
      </c>
    </row>
    <row r="902" spans="1:39" s="90" customFormat="1" ht="18" customHeight="1" x14ac:dyDescent="0.3">
      <c r="A902" s="297">
        <v>617</v>
      </c>
      <c r="B902" s="11" t="s">
        <v>1309</v>
      </c>
      <c r="C902" s="88" t="s">
        <v>268</v>
      </c>
      <c r="D902" s="88" t="s">
        <v>958</v>
      </c>
      <c r="E902" s="31" t="s">
        <v>48</v>
      </c>
      <c r="F902" s="85" t="s">
        <v>49</v>
      </c>
      <c r="G902" s="375"/>
      <c r="H902" s="365">
        <v>11</v>
      </c>
      <c r="I902" s="379"/>
      <c r="J902" s="365">
        <v>1</v>
      </c>
      <c r="K902" s="120"/>
      <c r="L902" s="120"/>
      <c r="M902" s="120"/>
      <c r="N902" s="120">
        <v>18855</v>
      </c>
      <c r="O902" s="120"/>
      <c r="P902" s="120" t="s">
        <v>207</v>
      </c>
      <c r="Q902" s="120"/>
      <c r="R902" s="120" t="s">
        <v>207</v>
      </c>
      <c r="S902" s="120"/>
      <c r="T902" s="120" t="s">
        <v>207</v>
      </c>
      <c r="U902" s="120"/>
      <c r="V902" s="120" t="s">
        <v>207</v>
      </c>
      <c r="W902" s="120"/>
      <c r="X902" s="120" t="s">
        <v>207</v>
      </c>
      <c r="Y902" s="120"/>
      <c r="Z902" s="120" t="s">
        <v>207</v>
      </c>
      <c r="AA902" s="120"/>
      <c r="AB902" s="120" t="s">
        <v>207</v>
      </c>
      <c r="AC902" s="120"/>
      <c r="AD902" s="120" t="s">
        <v>207</v>
      </c>
      <c r="AE902" s="120"/>
      <c r="AF902" s="120" t="s">
        <v>207</v>
      </c>
      <c r="AG902" s="120"/>
      <c r="AH902" s="120" t="s">
        <v>207</v>
      </c>
      <c r="AI902" s="120"/>
      <c r="AJ902" s="120" t="s">
        <v>207</v>
      </c>
      <c r="AK902" s="120"/>
      <c r="AL902" s="120" t="s">
        <v>207</v>
      </c>
      <c r="AM902" s="117">
        <f t="shared" si="22"/>
        <v>0</v>
      </c>
    </row>
    <row r="903" spans="1:39" s="90" customFormat="1" ht="18" customHeight="1" x14ac:dyDescent="0.3">
      <c r="A903" s="114">
        <v>618</v>
      </c>
      <c r="B903" s="11" t="s">
        <v>1310</v>
      </c>
      <c r="C903" s="88" t="s">
        <v>268</v>
      </c>
      <c r="D903" s="88" t="s">
        <v>958</v>
      </c>
      <c r="E903" s="31" t="s">
        <v>48</v>
      </c>
      <c r="F903" s="85" t="s">
        <v>49</v>
      </c>
      <c r="G903" s="375"/>
      <c r="H903" s="365">
        <v>8</v>
      </c>
      <c r="I903" s="379"/>
      <c r="J903" s="365">
        <v>1</v>
      </c>
      <c r="K903" s="120"/>
      <c r="L903" s="120"/>
      <c r="M903" s="120">
        <v>22545</v>
      </c>
      <c r="N903" s="120">
        <v>24864</v>
      </c>
      <c r="O903" s="120">
        <v>2469</v>
      </c>
      <c r="P903" s="120" t="s">
        <v>207</v>
      </c>
      <c r="Q903" s="120">
        <v>2103</v>
      </c>
      <c r="R903" s="120" t="s">
        <v>207</v>
      </c>
      <c r="S903" s="120">
        <v>2047</v>
      </c>
      <c r="T903" s="120" t="s">
        <v>207</v>
      </c>
      <c r="U903" s="120">
        <v>2112</v>
      </c>
      <c r="V903" s="120" t="s">
        <v>207</v>
      </c>
      <c r="W903" s="120">
        <v>1734</v>
      </c>
      <c r="X903" s="120" t="s">
        <v>207</v>
      </c>
      <c r="Y903" s="120">
        <v>2457</v>
      </c>
      <c r="Z903" s="120" t="s">
        <v>207</v>
      </c>
      <c r="AA903" s="120">
        <v>1479</v>
      </c>
      <c r="AB903" s="120" t="s">
        <v>207</v>
      </c>
      <c r="AC903" s="120">
        <v>1524</v>
      </c>
      <c r="AD903" s="120" t="s">
        <v>207</v>
      </c>
      <c r="AE903" s="120">
        <v>1953</v>
      </c>
      <c r="AF903" s="120" t="s">
        <v>207</v>
      </c>
      <c r="AG903" s="120">
        <v>2224</v>
      </c>
      <c r="AH903" s="120" t="s">
        <v>207</v>
      </c>
      <c r="AI903" s="120">
        <v>2250</v>
      </c>
      <c r="AJ903" s="120" t="s">
        <v>207</v>
      </c>
      <c r="AK903" s="120">
        <v>2194</v>
      </c>
      <c r="AL903" s="120" t="s">
        <v>207</v>
      </c>
      <c r="AM903" s="117">
        <f t="shared" si="22"/>
        <v>24546</v>
      </c>
    </row>
    <row r="904" spans="1:39" s="90" customFormat="1" ht="18" customHeight="1" x14ac:dyDescent="0.3">
      <c r="A904" s="114">
        <v>619</v>
      </c>
      <c r="B904" s="11" t="s">
        <v>1311</v>
      </c>
      <c r="C904" s="88" t="s">
        <v>268</v>
      </c>
      <c r="D904" s="88" t="s">
        <v>958</v>
      </c>
      <c r="E904" s="31" t="s">
        <v>48</v>
      </c>
      <c r="F904" s="85" t="s">
        <v>49</v>
      </c>
      <c r="G904" s="375"/>
      <c r="H904" s="365">
        <v>10</v>
      </c>
      <c r="I904" s="379"/>
      <c r="J904" s="365">
        <v>1</v>
      </c>
      <c r="K904" s="120"/>
      <c r="L904" s="120"/>
      <c r="M904" s="120">
        <v>5638</v>
      </c>
      <c r="N904" s="120">
        <v>5673</v>
      </c>
      <c r="O904" s="120">
        <v>555</v>
      </c>
      <c r="P904" s="120" t="s">
        <v>207</v>
      </c>
      <c r="Q904" s="120">
        <v>422</v>
      </c>
      <c r="R904" s="120" t="s">
        <v>207</v>
      </c>
      <c r="S904" s="120">
        <v>86</v>
      </c>
      <c r="T904" s="120" t="s">
        <v>207</v>
      </c>
      <c r="U904" s="120">
        <v>355</v>
      </c>
      <c r="V904" s="120" t="s">
        <v>207</v>
      </c>
      <c r="W904" s="120">
        <v>122</v>
      </c>
      <c r="X904" s="120" t="s">
        <v>207</v>
      </c>
      <c r="Y904" s="120">
        <v>128</v>
      </c>
      <c r="Z904" s="120" t="s">
        <v>207</v>
      </c>
      <c r="AA904" s="120">
        <v>153</v>
      </c>
      <c r="AB904" s="120" t="s">
        <v>207</v>
      </c>
      <c r="AC904" s="120">
        <v>184</v>
      </c>
      <c r="AD904" s="120" t="s">
        <v>207</v>
      </c>
      <c r="AE904" s="120">
        <v>195</v>
      </c>
      <c r="AF904" s="120" t="s">
        <v>207</v>
      </c>
      <c r="AG904" s="120">
        <v>321</v>
      </c>
      <c r="AH904" s="120" t="s">
        <v>207</v>
      </c>
      <c r="AI904" s="120">
        <v>585</v>
      </c>
      <c r="AJ904" s="120" t="s">
        <v>207</v>
      </c>
      <c r="AK904" s="120">
        <v>563</v>
      </c>
      <c r="AL904" s="120" t="s">
        <v>207</v>
      </c>
      <c r="AM904" s="117">
        <f t="shared" si="22"/>
        <v>3669</v>
      </c>
    </row>
    <row r="905" spans="1:39" s="90" customFormat="1" ht="18" customHeight="1" x14ac:dyDescent="0.3">
      <c r="A905" s="297">
        <v>620</v>
      </c>
      <c r="B905" s="11" t="s">
        <v>1312</v>
      </c>
      <c r="C905" s="88" t="s">
        <v>268</v>
      </c>
      <c r="D905" s="88" t="s">
        <v>958</v>
      </c>
      <c r="E905" s="31" t="s">
        <v>48</v>
      </c>
      <c r="F905" s="85" t="s">
        <v>49</v>
      </c>
      <c r="G905" s="375"/>
      <c r="H905" s="365">
        <v>5</v>
      </c>
      <c r="I905" s="379"/>
      <c r="J905" s="365">
        <v>1</v>
      </c>
      <c r="K905" s="120"/>
      <c r="L905" s="120"/>
      <c r="M905" s="120">
        <v>2245</v>
      </c>
      <c r="N905" s="120">
        <v>2115</v>
      </c>
      <c r="O905" s="120">
        <v>319</v>
      </c>
      <c r="P905" s="120" t="s">
        <v>207</v>
      </c>
      <c r="Q905" s="120">
        <v>149</v>
      </c>
      <c r="R905" s="120" t="s">
        <v>207</v>
      </c>
      <c r="S905" s="120">
        <v>223</v>
      </c>
      <c r="T905" s="120" t="s">
        <v>207</v>
      </c>
      <c r="U905" s="120">
        <v>96</v>
      </c>
      <c r="V905" s="120" t="s">
        <v>207</v>
      </c>
      <c r="W905" s="120">
        <v>93</v>
      </c>
      <c r="X905" s="120" t="s">
        <v>207</v>
      </c>
      <c r="Y905" s="120">
        <v>139</v>
      </c>
      <c r="Z905" s="120" t="s">
        <v>207</v>
      </c>
      <c r="AA905" s="120">
        <v>144</v>
      </c>
      <c r="AB905" s="120" t="s">
        <v>207</v>
      </c>
      <c r="AC905" s="120">
        <v>71</v>
      </c>
      <c r="AD905" s="120" t="s">
        <v>207</v>
      </c>
      <c r="AE905" s="120">
        <v>120</v>
      </c>
      <c r="AF905" s="120" t="s">
        <v>207</v>
      </c>
      <c r="AG905" s="120">
        <v>152</v>
      </c>
      <c r="AH905" s="120" t="s">
        <v>207</v>
      </c>
      <c r="AI905" s="120">
        <v>142</v>
      </c>
      <c r="AJ905" s="120" t="s">
        <v>207</v>
      </c>
      <c r="AK905" s="120">
        <v>210</v>
      </c>
      <c r="AL905" s="120" t="s">
        <v>207</v>
      </c>
      <c r="AM905" s="117">
        <f t="shared" si="22"/>
        <v>1858</v>
      </c>
    </row>
    <row r="906" spans="1:39" s="90" customFormat="1" ht="18" customHeight="1" x14ac:dyDescent="0.3">
      <c r="A906" s="114">
        <v>621</v>
      </c>
      <c r="B906" s="11" t="s">
        <v>1313</v>
      </c>
      <c r="C906" s="88" t="s">
        <v>268</v>
      </c>
      <c r="D906" s="88" t="s">
        <v>958</v>
      </c>
      <c r="E906" s="31" t="s">
        <v>48</v>
      </c>
      <c r="F906" s="85" t="s">
        <v>49</v>
      </c>
      <c r="G906" s="375"/>
      <c r="H906" s="365">
        <v>8</v>
      </c>
      <c r="I906" s="379"/>
      <c r="J906" s="365">
        <v>1</v>
      </c>
      <c r="K906" s="120"/>
      <c r="L906" s="120"/>
      <c r="M906" s="120">
        <v>8208</v>
      </c>
      <c r="N906" s="120">
        <v>814</v>
      </c>
      <c r="O906" s="120">
        <v>508</v>
      </c>
      <c r="P906" s="120" t="s">
        <v>207</v>
      </c>
      <c r="Q906" s="120">
        <v>430</v>
      </c>
      <c r="R906" s="120" t="s">
        <v>207</v>
      </c>
      <c r="S906" s="120">
        <v>295</v>
      </c>
      <c r="T906" s="120" t="s">
        <v>207</v>
      </c>
      <c r="U906" s="120">
        <v>175</v>
      </c>
      <c r="V906" s="120" t="s">
        <v>207</v>
      </c>
      <c r="W906" s="120">
        <v>139</v>
      </c>
      <c r="X906" s="120" t="s">
        <v>207</v>
      </c>
      <c r="Y906" s="120">
        <v>131</v>
      </c>
      <c r="Z906" s="120" t="s">
        <v>207</v>
      </c>
      <c r="AA906" s="120">
        <v>161</v>
      </c>
      <c r="AB906" s="120" t="s">
        <v>207</v>
      </c>
      <c r="AC906" s="120">
        <v>122</v>
      </c>
      <c r="AD906" s="120" t="s">
        <v>207</v>
      </c>
      <c r="AE906" s="120">
        <v>134</v>
      </c>
      <c r="AF906" s="120" t="s">
        <v>207</v>
      </c>
      <c r="AG906" s="120">
        <v>139</v>
      </c>
      <c r="AH906" s="120" t="s">
        <v>207</v>
      </c>
      <c r="AI906" s="120">
        <v>163</v>
      </c>
      <c r="AJ906" s="120" t="s">
        <v>207</v>
      </c>
      <c r="AK906" s="120">
        <v>140</v>
      </c>
      <c r="AL906" s="120" t="s">
        <v>207</v>
      </c>
      <c r="AM906" s="117">
        <f t="shared" si="22"/>
        <v>2537</v>
      </c>
    </row>
    <row r="907" spans="1:39" s="90" customFormat="1" ht="18" customHeight="1" x14ac:dyDescent="0.3">
      <c r="A907" s="114">
        <v>622</v>
      </c>
      <c r="B907" s="11" t="s">
        <v>1314</v>
      </c>
      <c r="C907" s="88" t="s">
        <v>268</v>
      </c>
      <c r="D907" s="88" t="s">
        <v>958</v>
      </c>
      <c r="E907" s="31" t="s">
        <v>48</v>
      </c>
      <c r="F907" s="85" t="s">
        <v>49</v>
      </c>
      <c r="G907" s="375"/>
      <c r="H907" s="365">
        <v>8</v>
      </c>
      <c r="I907" s="379"/>
      <c r="J907" s="365">
        <v>1</v>
      </c>
      <c r="K907" s="120"/>
      <c r="L907" s="120"/>
      <c r="M907" s="120">
        <v>3077</v>
      </c>
      <c r="N907" s="120">
        <v>3058</v>
      </c>
      <c r="O907" s="120">
        <v>238</v>
      </c>
      <c r="P907" s="120" t="s">
        <v>207</v>
      </c>
      <c r="Q907" s="120">
        <v>234</v>
      </c>
      <c r="R907" s="120" t="s">
        <v>207</v>
      </c>
      <c r="S907" s="120">
        <v>192</v>
      </c>
      <c r="T907" s="120" t="s">
        <v>207</v>
      </c>
      <c r="U907" s="120">
        <v>220</v>
      </c>
      <c r="V907" s="120" t="s">
        <v>207</v>
      </c>
      <c r="W907" s="120">
        <v>232</v>
      </c>
      <c r="X907" s="120" t="s">
        <v>207</v>
      </c>
      <c r="Y907" s="120">
        <v>241</v>
      </c>
      <c r="Z907" s="120" t="s">
        <v>207</v>
      </c>
      <c r="AA907" s="120">
        <v>189</v>
      </c>
      <c r="AB907" s="120" t="s">
        <v>207</v>
      </c>
      <c r="AC907" s="120">
        <v>180</v>
      </c>
      <c r="AD907" s="120" t="s">
        <v>207</v>
      </c>
      <c r="AE907" s="120">
        <v>188</v>
      </c>
      <c r="AF907" s="120" t="s">
        <v>207</v>
      </c>
      <c r="AG907" s="120">
        <v>263</v>
      </c>
      <c r="AH907" s="120" t="s">
        <v>207</v>
      </c>
      <c r="AI907" s="120">
        <v>312</v>
      </c>
      <c r="AJ907" s="120" t="s">
        <v>207</v>
      </c>
      <c r="AK907" s="120">
        <v>372</v>
      </c>
      <c r="AL907" s="120" t="s">
        <v>207</v>
      </c>
      <c r="AM907" s="117">
        <f t="shared" si="22"/>
        <v>2861</v>
      </c>
    </row>
    <row r="908" spans="1:39" s="90" customFormat="1" ht="18" customHeight="1" x14ac:dyDescent="0.3">
      <c r="A908" s="297">
        <v>623</v>
      </c>
      <c r="B908" s="11" t="s">
        <v>1315</v>
      </c>
      <c r="C908" s="88" t="s">
        <v>268</v>
      </c>
      <c r="D908" s="88" t="s">
        <v>958</v>
      </c>
      <c r="E908" s="31" t="s">
        <v>48</v>
      </c>
      <c r="F908" s="85" t="s">
        <v>49</v>
      </c>
      <c r="G908" s="375"/>
      <c r="H908" s="365">
        <v>8</v>
      </c>
      <c r="I908" s="379"/>
      <c r="J908" s="365">
        <v>1</v>
      </c>
      <c r="K908" s="120"/>
      <c r="L908" s="120"/>
      <c r="M908" s="120"/>
      <c r="N908" s="120"/>
      <c r="O908" s="120"/>
      <c r="P908" s="120" t="s">
        <v>207</v>
      </c>
      <c r="Q908" s="120"/>
      <c r="R908" s="120" t="s">
        <v>207</v>
      </c>
      <c r="S908" s="120"/>
      <c r="T908" s="120" t="s">
        <v>207</v>
      </c>
      <c r="U908" s="120"/>
      <c r="V908" s="120" t="s">
        <v>207</v>
      </c>
      <c r="W908" s="120"/>
      <c r="X908" s="120" t="s">
        <v>207</v>
      </c>
      <c r="Y908" s="120"/>
      <c r="Z908" s="120" t="s">
        <v>207</v>
      </c>
      <c r="AA908" s="120"/>
      <c r="AB908" s="120" t="s">
        <v>207</v>
      </c>
      <c r="AC908" s="120"/>
      <c r="AD908" s="120" t="s">
        <v>207</v>
      </c>
      <c r="AE908" s="120"/>
      <c r="AF908" s="120" t="s">
        <v>207</v>
      </c>
      <c r="AG908" s="120"/>
      <c r="AH908" s="120" t="s">
        <v>207</v>
      </c>
      <c r="AI908" s="120"/>
      <c r="AJ908" s="120" t="s">
        <v>207</v>
      </c>
      <c r="AK908" s="120"/>
      <c r="AL908" s="120" t="s">
        <v>207</v>
      </c>
      <c r="AM908" s="117">
        <f t="shared" si="22"/>
        <v>0</v>
      </c>
    </row>
    <row r="909" spans="1:39" s="90" customFormat="1" ht="18" customHeight="1" x14ac:dyDescent="0.3">
      <c r="A909" s="114">
        <v>624</v>
      </c>
      <c r="B909" s="11" t="s">
        <v>1316</v>
      </c>
      <c r="C909" s="88" t="s">
        <v>268</v>
      </c>
      <c r="D909" s="88" t="s">
        <v>958</v>
      </c>
      <c r="E909" s="31" t="s">
        <v>48</v>
      </c>
      <c r="F909" s="85" t="s">
        <v>49</v>
      </c>
      <c r="G909" s="375"/>
      <c r="H909" s="365">
        <v>8</v>
      </c>
      <c r="I909" s="379"/>
      <c r="J909" s="365">
        <v>1</v>
      </c>
      <c r="K909" s="120"/>
      <c r="L909" s="120"/>
      <c r="M909" s="120"/>
      <c r="N909" s="120"/>
      <c r="O909" s="120"/>
      <c r="P909" s="120" t="s">
        <v>207</v>
      </c>
      <c r="Q909" s="120"/>
      <c r="R909" s="120" t="s">
        <v>207</v>
      </c>
      <c r="S909" s="120"/>
      <c r="T909" s="120" t="s">
        <v>207</v>
      </c>
      <c r="U909" s="120"/>
      <c r="V909" s="120" t="s">
        <v>207</v>
      </c>
      <c r="W909" s="120"/>
      <c r="X909" s="120" t="s">
        <v>207</v>
      </c>
      <c r="Y909" s="120"/>
      <c r="Z909" s="120" t="s">
        <v>207</v>
      </c>
      <c r="AA909" s="120"/>
      <c r="AB909" s="120" t="s">
        <v>207</v>
      </c>
      <c r="AC909" s="120"/>
      <c r="AD909" s="120" t="s">
        <v>207</v>
      </c>
      <c r="AE909" s="120"/>
      <c r="AF909" s="120" t="s">
        <v>207</v>
      </c>
      <c r="AG909" s="120"/>
      <c r="AH909" s="120" t="s">
        <v>207</v>
      </c>
      <c r="AI909" s="120"/>
      <c r="AJ909" s="120" t="s">
        <v>207</v>
      </c>
      <c r="AK909" s="120"/>
      <c r="AL909" s="120" t="s">
        <v>207</v>
      </c>
      <c r="AM909" s="117">
        <f t="shared" si="22"/>
        <v>0</v>
      </c>
    </row>
    <row r="910" spans="1:39" s="90" customFormat="1" ht="18" customHeight="1" x14ac:dyDescent="0.3">
      <c r="A910" s="114">
        <v>625</v>
      </c>
      <c r="B910" s="11" t="s">
        <v>1317</v>
      </c>
      <c r="C910" s="88" t="s">
        <v>268</v>
      </c>
      <c r="D910" s="88" t="s">
        <v>958</v>
      </c>
      <c r="E910" s="31" t="s">
        <v>48</v>
      </c>
      <c r="F910" s="85" t="s">
        <v>49</v>
      </c>
      <c r="G910" s="375"/>
      <c r="H910" s="365">
        <v>8</v>
      </c>
      <c r="I910" s="379"/>
      <c r="J910" s="365">
        <v>1</v>
      </c>
      <c r="K910" s="120"/>
      <c r="L910" s="120"/>
      <c r="M910" s="120">
        <v>4474</v>
      </c>
      <c r="N910" s="120">
        <v>4532</v>
      </c>
      <c r="O910" s="120">
        <v>516</v>
      </c>
      <c r="P910" s="120" t="s">
        <v>207</v>
      </c>
      <c r="Q910" s="120">
        <v>306</v>
      </c>
      <c r="R910" s="120" t="s">
        <v>207</v>
      </c>
      <c r="S910" s="120">
        <v>374</v>
      </c>
      <c r="T910" s="120" t="s">
        <v>207</v>
      </c>
      <c r="U910" s="120">
        <v>361</v>
      </c>
      <c r="V910" s="120" t="s">
        <v>207</v>
      </c>
      <c r="W910" s="120">
        <v>401</v>
      </c>
      <c r="X910" s="120" t="s">
        <v>207</v>
      </c>
      <c r="Y910" s="120">
        <v>306</v>
      </c>
      <c r="Z910" s="120" t="s">
        <v>207</v>
      </c>
      <c r="AA910" s="120">
        <v>139</v>
      </c>
      <c r="AB910" s="120" t="s">
        <v>207</v>
      </c>
      <c r="AC910" s="120">
        <v>280</v>
      </c>
      <c r="AD910" s="120" t="s">
        <v>207</v>
      </c>
      <c r="AE910" s="120">
        <v>476</v>
      </c>
      <c r="AF910" s="120" t="s">
        <v>207</v>
      </c>
      <c r="AG910" s="120">
        <v>414</v>
      </c>
      <c r="AH910" s="120" t="s">
        <v>207</v>
      </c>
      <c r="AI910" s="120">
        <v>450</v>
      </c>
      <c r="AJ910" s="120" t="s">
        <v>207</v>
      </c>
      <c r="AK910" s="120">
        <v>535</v>
      </c>
      <c r="AL910" s="120" t="s">
        <v>207</v>
      </c>
      <c r="AM910" s="117">
        <f t="shared" si="22"/>
        <v>4558</v>
      </c>
    </row>
    <row r="911" spans="1:39" s="90" customFormat="1" ht="18" customHeight="1" x14ac:dyDescent="0.3">
      <c r="A911" s="297">
        <v>626</v>
      </c>
      <c r="B911" s="11" t="s">
        <v>1318</v>
      </c>
      <c r="C911" s="88" t="s">
        <v>268</v>
      </c>
      <c r="D911" s="88" t="s">
        <v>958</v>
      </c>
      <c r="E911" s="31" t="s">
        <v>48</v>
      </c>
      <c r="F911" s="85" t="s">
        <v>49</v>
      </c>
      <c r="G911" s="375"/>
      <c r="H911" s="365">
        <v>8</v>
      </c>
      <c r="I911" s="379"/>
      <c r="J911" s="365">
        <v>1</v>
      </c>
      <c r="K911" s="120"/>
      <c r="L911" s="120"/>
      <c r="M911" s="120">
        <v>449</v>
      </c>
      <c r="N911" s="120">
        <v>731</v>
      </c>
      <c r="O911" s="120">
        <v>236</v>
      </c>
      <c r="P911" s="120" t="s">
        <v>207</v>
      </c>
      <c r="Q911" s="120">
        <v>203</v>
      </c>
      <c r="R911" s="120" t="s">
        <v>207</v>
      </c>
      <c r="S911" s="120">
        <v>158</v>
      </c>
      <c r="T911" s="120" t="s">
        <v>207</v>
      </c>
      <c r="U911" s="120">
        <v>69</v>
      </c>
      <c r="V911" s="120" t="s">
        <v>207</v>
      </c>
      <c r="W911" s="120">
        <v>84</v>
      </c>
      <c r="X911" s="120" t="s">
        <v>207</v>
      </c>
      <c r="Y911" s="120">
        <v>30</v>
      </c>
      <c r="Z911" s="120" t="s">
        <v>207</v>
      </c>
      <c r="AA911" s="120">
        <v>10</v>
      </c>
      <c r="AB911" s="120" t="s">
        <v>207</v>
      </c>
      <c r="AC911" s="120">
        <v>22</v>
      </c>
      <c r="AD911" s="120" t="s">
        <v>207</v>
      </c>
      <c r="AE911" s="120">
        <v>34</v>
      </c>
      <c r="AF911" s="120" t="s">
        <v>207</v>
      </c>
      <c r="AG911" s="120">
        <v>37</v>
      </c>
      <c r="AH911" s="120" t="s">
        <v>207</v>
      </c>
      <c r="AI911" s="120">
        <v>61</v>
      </c>
      <c r="AJ911" s="120" t="s">
        <v>207</v>
      </c>
      <c r="AK911" s="120">
        <v>70</v>
      </c>
      <c r="AL911" s="120" t="s">
        <v>207</v>
      </c>
      <c r="AM911" s="117">
        <f t="shared" si="22"/>
        <v>1014</v>
      </c>
    </row>
    <row r="912" spans="1:39" s="90" customFormat="1" ht="18" customHeight="1" x14ac:dyDescent="0.3">
      <c r="A912" s="114">
        <v>627</v>
      </c>
      <c r="B912" s="11" t="s">
        <v>1319</v>
      </c>
      <c r="C912" s="88" t="s">
        <v>268</v>
      </c>
      <c r="D912" s="88" t="s">
        <v>958</v>
      </c>
      <c r="E912" s="31" t="s">
        <v>48</v>
      </c>
      <c r="F912" s="85" t="s">
        <v>49</v>
      </c>
      <c r="G912" s="375"/>
      <c r="H912" s="365">
        <v>8</v>
      </c>
      <c r="I912" s="379"/>
      <c r="J912" s="365">
        <v>1</v>
      </c>
      <c r="K912" s="120"/>
      <c r="L912" s="120"/>
      <c r="M912" s="120">
        <v>11102</v>
      </c>
      <c r="N912" s="120">
        <v>9199</v>
      </c>
      <c r="O912" s="120">
        <v>1431</v>
      </c>
      <c r="P912" s="120" t="s">
        <v>207</v>
      </c>
      <c r="Q912" s="120">
        <v>1155</v>
      </c>
      <c r="R912" s="120" t="s">
        <v>207</v>
      </c>
      <c r="S912" s="120">
        <v>797</v>
      </c>
      <c r="T912" s="120" t="s">
        <v>207</v>
      </c>
      <c r="U912" s="120">
        <v>898</v>
      </c>
      <c r="V912" s="120" t="s">
        <v>207</v>
      </c>
      <c r="W912" s="120">
        <v>703</v>
      </c>
      <c r="X912" s="120" t="s">
        <v>207</v>
      </c>
      <c r="Y912" s="120">
        <v>789</v>
      </c>
      <c r="Z912" s="120" t="s">
        <v>207</v>
      </c>
      <c r="AA912" s="120">
        <v>823</v>
      </c>
      <c r="AB912" s="120" t="s">
        <v>207</v>
      </c>
      <c r="AC912" s="120">
        <v>198</v>
      </c>
      <c r="AD912" s="120" t="s">
        <v>207</v>
      </c>
      <c r="AE912" s="120">
        <v>896</v>
      </c>
      <c r="AF912" s="120" t="s">
        <v>207</v>
      </c>
      <c r="AG912" s="120">
        <v>1060</v>
      </c>
      <c r="AH912" s="120" t="s">
        <v>207</v>
      </c>
      <c r="AI912" s="120">
        <v>1019</v>
      </c>
      <c r="AJ912" s="120" t="s">
        <v>207</v>
      </c>
      <c r="AK912" s="120">
        <v>1569</v>
      </c>
      <c r="AL912" s="120" t="s">
        <v>207</v>
      </c>
      <c r="AM912" s="117">
        <f t="shared" si="22"/>
        <v>11338</v>
      </c>
    </row>
    <row r="913" spans="1:39" s="90" customFormat="1" ht="18" customHeight="1" x14ac:dyDescent="0.3">
      <c r="A913" s="114">
        <v>628</v>
      </c>
      <c r="B913" s="11" t="s">
        <v>1320</v>
      </c>
      <c r="C913" s="88" t="s">
        <v>268</v>
      </c>
      <c r="D913" s="88" t="s">
        <v>958</v>
      </c>
      <c r="E913" s="31" t="s">
        <v>48</v>
      </c>
      <c r="F913" s="85" t="s">
        <v>49</v>
      </c>
      <c r="G913" s="375"/>
      <c r="H913" s="365">
        <v>8</v>
      </c>
      <c r="I913" s="379"/>
      <c r="J913" s="365">
        <v>1</v>
      </c>
      <c r="K913" s="120"/>
      <c r="L913" s="120"/>
      <c r="M913" s="120">
        <v>1770</v>
      </c>
      <c r="N913" s="120">
        <v>1672</v>
      </c>
      <c r="O913" s="120">
        <v>225</v>
      </c>
      <c r="P913" s="120" t="s">
        <v>207</v>
      </c>
      <c r="Q913" s="120">
        <v>159</v>
      </c>
      <c r="R913" s="120" t="s">
        <v>207</v>
      </c>
      <c r="S913" s="120">
        <v>106</v>
      </c>
      <c r="T913" s="120" t="s">
        <v>207</v>
      </c>
      <c r="U913" s="120">
        <v>164</v>
      </c>
      <c r="V913" s="120" t="s">
        <v>207</v>
      </c>
      <c r="W913" s="120">
        <v>109</v>
      </c>
      <c r="X913" s="120" t="s">
        <v>207</v>
      </c>
      <c r="Y913" s="120">
        <v>140</v>
      </c>
      <c r="Z913" s="120" t="s">
        <v>207</v>
      </c>
      <c r="AA913" s="120">
        <v>165</v>
      </c>
      <c r="AB913" s="120" t="s">
        <v>207</v>
      </c>
      <c r="AC913" s="120">
        <v>14</v>
      </c>
      <c r="AD913" s="120" t="s">
        <v>207</v>
      </c>
      <c r="AE913" s="120">
        <v>170</v>
      </c>
      <c r="AF913" s="120" t="s">
        <v>207</v>
      </c>
      <c r="AG913" s="120">
        <v>159</v>
      </c>
      <c r="AH913" s="120" t="s">
        <v>207</v>
      </c>
      <c r="AI913" s="120">
        <v>191</v>
      </c>
      <c r="AJ913" s="120" t="s">
        <v>207</v>
      </c>
      <c r="AK913" s="120">
        <v>177</v>
      </c>
      <c r="AL913" s="120" t="s">
        <v>207</v>
      </c>
      <c r="AM913" s="117">
        <f t="shared" si="22"/>
        <v>1779</v>
      </c>
    </row>
    <row r="914" spans="1:39" s="90" customFormat="1" ht="18" customHeight="1" x14ac:dyDescent="0.3">
      <c r="A914" s="297">
        <v>629</v>
      </c>
      <c r="B914" s="11" t="s">
        <v>1321</v>
      </c>
      <c r="C914" s="88" t="s">
        <v>268</v>
      </c>
      <c r="D914" s="88" t="s">
        <v>958</v>
      </c>
      <c r="E914" s="31" t="s">
        <v>48</v>
      </c>
      <c r="F914" s="85" t="s">
        <v>49</v>
      </c>
      <c r="G914" s="375"/>
      <c r="H914" s="365">
        <v>8</v>
      </c>
      <c r="I914" s="379"/>
      <c r="J914" s="365">
        <v>1</v>
      </c>
      <c r="K914" s="120"/>
      <c r="L914" s="120"/>
      <c r="M914" s="120">
        <v>60550</v>
      </c>
      <c r="N914" s="120">
        <v>61300</v>
      </c>
      <c r="O914" s="120">
        <v>14810</v>
      </c>
      <c r="P914" s="120" t="s">
        <v>207</v>
      </c>
      <c r="Q914" s="120">
        <v>7780</v>
      </c>
      <c r="R914" s="120" t="s">
        <v>207</v>
      </c>
      <c r="S914" s="120">
        <v>7330</v>
      </c>
      <c r="T914" s="120" t="s">
        <v>207</v>
      </c>
      <c r="U914" s="120">
        <v>6250</v>
      </c>
      <c r="V914" s="120" t="s">
        <v>207</v>
      </c>
      <c r="W914" s="120">
        <v>7780</v>
      </c>
      <c r="X914" s="120" t="s">
        <v>207</v>
      </c>
      <c r="Y914" s="120">
        <v>4230</v>
      </c>
      <c r="Z914" s="120" t="s">
        <v>207</v>
      </c>
      <c r="AA914" s="120">
        <v>2650</v>
      </c>
      <c r="AB914" s="120" t="s">
        <v>207</v>
      </c>
      <c r="AC914" s="120">
        <v>4220</v>
      </c>
      <c r="AD914" s="120" t="s">
        <v>207</v>
      </c>
      <c r="AE914" s="120">
        <v>4720</v>
      </c>
      <c r="AF914" s="120" t="s">
        <v>207</v>
      </c>
      <c r="AG914" s="120">
        <v>5010</v>
      </c>
      <c r="AH914" s="120" t="s">
        <v>207</v>
      </c>
      <c r="AI914" s="120">
        <v>6140</v>
      </c>
      <c r="AJ914" s="120" t="s">
        <v>207</v>
      </c>
      <c r="AK914" s="120">
        <v>11850</v>
      </c>
      <c r="AL914" s="120" t="s">
        <v>207</v>
      </c>
      <c r="AM914" s="117">
        <f t="shared" si="22"/>
        <v>82770</v>
      </c>
    </row>
    <row r="915" spans="1:39" s="90" customFormat="1" ht="18" customHeight="1" x14ac:dyDescent="0.3">
      <c r="A915" s="114">
        <v>630</v>
      </c>
      <c r="B915" s="11" t="s">
        <v>1322</v>
      </c>
      <c r="C915" s="88" t="s">
        <v>268</v>
      </c>
      <c r="D915" s="88" t="s">
        <v>958</v>
      </c>
      <c r="E915" s="31" t="s">
        <v>48</v>
      </c>
      <c r="F915" s="85" t="s">
        <v>49</v>
      </c>
      <c r="G915" s="375"/>
      <c r="H915" s="365">
        <v>8</v>
      </c>
      <c r="I915" s="379"/>
      <c r="J915" s="365">
        <v>1</v>
      </c>
      <c r="K915" s="120"/>
      <c r="L915" s="120"/>
      <c r="M915" s="120">
        <v>1743</v>
      </c>
      <c r="N915" s="120">
        <v>2674</v>
      </c>
      <c r="O915" s="120">
        <v>243</v>
      </c>
      <c r="P915" s="120" t="s">
        <v>207</v>
      </c>
      <c r="Q915" s="120">
        <v>287</v>
      </c>
      <c r="R915" s="120" t="s">
        <v>207</v>
      </c>
      <c r="S915" s="120">
        <v>66</v>
      </c>
      <c r="T915" s="120" t="s">
        <v>207</v>
      </c>
      <c r="U915" s="120">
        <v>65</v>
      </c>
      <c r="V915" s="120" t="s">
        <v>207</v>
      </c>
      <c r="W915" s="120">
        <v>71</v>
      </c>
      <c r="X915" s="120" t="s">
        <v>207</v>
      </c>
      <c r="Y915" s="120">
        <v>94</v>
      </c>
      <c r="Z915" s="120" t="s">
        <v>207</v>
      </c>
      <c r="AA915" s="120">
        <v>138</v>
      </c>
      <c r="AB915" s="120" t="s">
        <v>207</v>
      </c>
      <c r="AC915" s="120">
        <v>50</v>
      </c>
      <c r="AD915" s="120" t="s">
        <v>207</v>
      </c>
      <c r="AE915" s="120">
        <v>172</v>
      </c>
      <c r="AF915" s="120" t="s">
        <v>207</v>
      </c>
      <c r="AG915" s="120">
        <v>196</v>
      </c>
      <c r="AH915" s="120" t="s">
        <v>207</v>
      </c>
      <c r="AI915" s="120">
        <v>185</v>
      </c>
      <c r="AJ915" s="120" t="s">
        <v>207</v>
      </c>
      <c r="AK915" s="120">
        <v>222</v>
      </c>
      <c r="AL915" s="120" t="s">
        <v>207</v>
      </c>
      <c r="AM915" s="117">
        <f t="shared" si="22"/>
        <v>1789</v>
      </c>
    </row>
    <row r="916" spans="1:39" s="90" customFormat="1" ht="18" customHeight="1" x14ac:dyDescent="0.3">
      <c r="A916" s="114">
        <v>631</v>
      </c>
      <c r="B916" s="11" t="s">
        <v>1323</v>
      </c>
      <c r="C916" s="88" t="s">
        <v>268</v>
      </c>
      <c r="D916" s="88" t="s">
        <v>958</v>
      </c>
      <c r="E916" s="31" t="s">
        <v>48</v>
      </c>
      <c r="F916" s="85" t="s">
        <v>49</v>
      </c>
      <c r="G916" s="375"/>
      <c r="H916" s="365">
        <v>8</v>
      </c>
      <c r="I916" s="379"/>
      <c r="J916" s="365">
        <v>1</v>
      </c>
      <c r="K916" s="120"/>
      <c r="L916" s="120"/>
      <c r="M916" s="120">
        <v>4659</v>
      </c>
      <c r="N916" s="120">
        <v>4784</v>
      </c>
      <c r="O916" s="120"/>
      <c r="P916" s="120" t="s">
        <v>207</v>
      </c>
      <c r="Q916" s="120"/>
      <c r="R916" s="120" t="s">
        <v>207</v>
      </c>
      <c r="S916" s="120"/>
      <c r="T916" s="120" t="s">
        <v>207</v>
      </c>
      <c r="U916" s="120"/>
      <c r="V916" s="120" t="s">
        <v>207</v>
      </c>
      <c r="W916" s="120"/>
      <c r="X916" s="120" t="s">
        <v>207</v>
      </c>
      <c r="Y916" s="120"/>
      <c r="Z916" s="120" t="s">
        <v>207</v>
      </c>
      <c r="AA916" s="120"/>
      <c r="AB916" s="120" t="s">
        <v>207</v>
      </c>
      <c r="AC916" s="120"/>
      <c r="AD916" s="120" t="s">
        <v>207</v>
      </c>
      <c r="AE916" s="120"/>
      <c r="AF916" s="120" t="s">
        <v>207</v>
      </c>
      <c r="AG916" s="120"/>
      <c r="AH916" s="120" t="s">
        <v>207</v>
      </c>
      <c r="AI916" s="120"/>
      <c r="AJ916" s="120" t="s">
        <v>207</v>
      </c>
      <c r="AK916" s="120"/>
      <c r="AL916" s="120" t="s">
        <v>207</v>
      </c>
      <c r="AM916" s="117">
        <f t="shared" si="22"/>
        <v>0</v>
      </c>
    </row>
    <row r="917" spans="1:39" s="90" customFormat="1" ht="18" customHeight="1" x14ac:dyDescent="0.3">
      <c r="A917" s="297">
        <v>632</v>
      </c>
      <c r="B917" s="11" t="s">
        <v>1324</v>
      </c>
      <c r="C917" s="88" t="s">
        <v>268</v>
      </c>
      <c r="D917" s="88" t="s">
        <v>958</v>
      </c>
      <c r="E917" s="31" t="s">
        <v>48</v>
      </c>
      <c r="F917" s="85" t="s">
        <v>49</v>
      </c>
      <c r="G917" s="375"/>
      <c r="H917" s="365">
        <v>9</v>
      </c>
      <c r="I917" s="379"/>
      <c r="J917" s="365">
        <v>1</v>
      </c>
      <c r="K917" s="120"/>
      <c r="L917" s="120"/>
      <c r="M917" s="120">
        <v>6405</v>
      </c>
      <c r="N917" s="120">
        <v>5767</v>
      </c>
      <c r="O917" s="120">
        <v>704</v>
      </c>
      <c r="P917" s="120" t="s">
        <v>207</v>
      </c>
      <c r="Q917" s="120">
        <v>436</v>
      </c>
      <c r="R917" s="120" t="s">
        <v>207</v>
      </c>
      <c r="S917" s="120">
        <v>689</v>
      </c>
      <c r="T917" s="120" t="s">
        <v>207</v>
      </c>
      <c r="U917" s="120">
        <v>525</v>
      </c>
      <c r="V917" s="120" t="s">
        <v>207</v>
      </c>
      <c r="W917" s="120">
        <v>444</v>
      </c>
      <c r="X917" s="120" t="s">
        <v>207</v>
      </c>
      <c r="Y917" s="120">
        <v>692</v>
      </c>
      <c r="Z917" s="120" t="s">
        <v>207</v>
      </c>
      <c r="AA917" s="120">
        <v>491</v>
      </c>
      <c r="AB917" s="120" t="s">
        <v>207</v>
      </c>
      <c r="AC917" s="120">
        <v>300</v>
      </c>
      <c r="AD917" s="120" t="s">
        <v>207</v>
      </c>
      <c r="AE917" s="120">
        <v>358</v>
      </c>
      <c r="AF917" s="120" t="s">
        <v>207</v>
      </c>
      <c r="AG917" s="120">
        <v>433</v>
      </c>
      <c r="AH917" s="120" t="s">
        <v>207</v>
      </c>
      <c r="AI917" s="120">
        <v>441</v>
      </c>
      <c r="AJ917" s="120" t="s">
        <v>207</v>
      </c>
      <c r="AK917" s="120">
        <v>505</v>
      </c>
      <c r="AL917" s="120" t="s">
        <v>207</v>
      </c>
      <c r="AM917" s="117">
        <f t="shared" si="22"/>
        <v>6018</v>
      </c>
    </row>
    <row r="918" spans="1:39" s="90" customFormat="1" ht="18" customHeight="1" x14ac:dyDescent="0.3">
      <c r="A918" s="114">
        <v>633</v>
      </c>
      <c r="B918" s="11" t="s">
        <v>1325</v>
      </c>
      <c r="C918" s="88" t="s">
        <v>268</v>
      </c>
      <c r="D918" s="88" t="s">
        <v>958</v>
      </c>
      <c r="E918" s="31" t="s">
        <v>48</v>
      </c>
      <c r="F918" s="85" t="s">
        <v>49</v>
      </c>
      <c r="G918" s="375"/>
      <c r="H918" s="365">
        <v>8</v>
      </c>
      <c r="I918" s="379"/>
      <c r="J918" s="365">
        <v>1</v>
      </c>
      <c r="K918" s="120"/>
      <c r="L918" s="120"/>
      <c r="M918" s="120">
        <v>1151</v>
      </c>
      <c r="N918" s="120">
        <v>1293</v>
      </c>
      <c r="O918" s="120">
        <v>206</v>
      </c>
      <c r="P918" s="120" t="s">
        <v>207</v>
      </c>
      <c r="Q918" s="120">
        <v>102</v>
      </c>
      <c r="R918" s="120" t="s">
        <v>207</v>
      </c>
      <c r="S918" s="120">
        <v>141</v>
      </c>
      <c r="T918" s="120" t="s">
        <v>207</v>
      </c>
      <c r="U918" s="120">
        <v>83</v>
      </c>
      <c r="V918" s="120" t="s">
        <v>207</v>
      </c>
      <c r="W918" s="120">
        <v>92</v>
      </c>
      <c r="X918" s="120" t="s">
        <v>207</v>
      </c>
      <c r="Y918" s="120">
        <v>87</v>
      </c>
      <c r="Z918" s="120" t="s">
        <v>207</v>
      </c>
      <c r="AA918" s="120">
        <v>87</v>
      </c>
      <c r="AB918" s="120" t="s">
        <v>207</v>
      </c>
      <c r="AC918" s="120">
        <v>81</v>
      </c>
      <c r="AD918" s="120" t="s">
        <v>207</v>
      </c>
      <c r="AE918" s="120">
        <v>137</v>
      </c>
      <c r="AF918" s="120" t="s">
        <v>207</v>
      </c>
      <c r="AG918" s="120">
        <v>136</v>
      </c>
      <c r="AH918" s="120" t="s">
        <v>207</v>
      </c>
      <c r="AI918" s="120">
        <v>121</v>
      </c>
      <c r="AJ918" s="120" t="s">
        <v>207</v>
      </c>
      <c r="AK918" s="120">
        <v>164</v>
      </c>
      <c r="AL918" s="120" t="s">
        <v>207</v>
      </c>
      <c r="AM918" s="117">
        <f t="shared" si="22"/>
        <v>1437</v>
      </c>
    </row>
    <row r="919" spans="1:39" s="90" customFormat="1" ht="18" customHeight="1" x14ac:dyDescent="0.3">
      <c r="A919" s="114">
        <v>634</v>
      </c>
      <c r="B919" s="11" t="s">
        <v>1326</v>
      </c>
      <c r="C919" s="88" t="s">
        <v>268</v>
      </c>
      <c r="D919" s="88" t="s">
        <v>958</v>
      </c>
      <c r="E919" s="31" t="s">
        <v>48</v>
      </c>
      <c r="F919" s="85" t="s">
        <v>49</v>
      </c>
      <c r="G919" s="375"/>
      <c r="H919" s="365">
        <v>9</v>
      </c>
      <c r="I919" s="379"/>
      <c r="J919" s="365">
        <v>1</v>
      </c>
      <c r="K919" s="120"/>
      <c r="L919" s="120"/>
      <c r="M919" s="120">
        <v>29703</v>
      </c>
      <c r="N919" s="120">
        <v>29529</v>
      </c>
      <c r="O919" s="120">
        <v>3925</v>
      </c>
      <c r="P919" s="120" t="s">
        <v>207</v>
      </c>
      <c r="Q919" s="120">
        <v>3183</v>
      </c>
      <c r="R919" s="120" t="s">
        <v>207</v>
      </c>
      <c r="S919" s="120">
        <v>2326</v>
      </c>
      <c r="T919" s="120" t="s">
        <v>207</v>
      </c>
      <c r="U919" s="120">
        <v>2000</v>
      </c>
      <c r="V919" s="120" t="s">
        <v>207</v>
      </c>
      <c r="W919" s="120">
        <v>2706</v>
      </c>
      <c r="X919" s="120" t="s">
        <v>207</v>
      </c>
      <c r="Y919" s="120">
        <v>3057</v>
      </c>
      <c r="Z919" s="120" t="s">
        <v>207</v>
      </c>
      <c r="AA919" s="120">
        <v>2313</v>
      </c>
      <c r="AB919" s="120" t="s">
        <v>207</v>
      </c>
      <c r="AC919" s="120">
        <v>1777</v>
      </c>
      <c r="AD919" s="120" t="s">
        <v>207</v>
      </c>
      <c r="AE919" s="120">
        <v>2520</v>
      </c>
      <c r="AF919" s="120" t="s">
        <v>207</v>
      </c>
      <c r="AG919" s="120">
        <v>2610</v>
      </c>
      <c r="AH919" s="120" t="s">
        <v>207</v>
      </c>
      <c r="AI919" s="120">
        <v>2509</v>
      </c>
      <c r="AJ919" s="120" t="s">
        <v>207</v>
      </c>
      <c r="AK919" s="120">
        <v>2977</v>
      </c>
      <c r="AL919" s="120" t="s">
        <v>207</v>
      </c>
      <c r="AM919" s="117">
        <f t="shared" si="22"/>
        <v>31903</v>
      </c>
    </row>
    <row r="920" spans="1:39" s="90" customFormat="1" ht="18" customHeight="1" x14ac:dyDescent="0.3">
      <c r="A920" s="297">
        <v>635</v>
      </c>
      <c r="B920" s="11" t="s">
        <v>1327</v>
      </c>
      <c r="C920" s="88" t="s">
        <v>268</v>
      </c>
      <c r="D920" s="88" t="s">
        <v>958</v>
      </c>
      <c r="E920" s="31" t="s">
        <v>48</v>
      </c>
      <c r="F920" s="85" t="s">
        <v>49</v>
      </c>
      <c r="G920" s="375"/>
      <c r="H920" s="365">
        <v>8</v>
      </c>
      <c r="I920" s="379"/>
      <c r="J920" s="365">
        <v>1</v>
      </c>
      <c r="K920" s="120"/>
      <c r="L920" s="120"/>
      <c r="M920" s="120">
        <v>1159</v>
      </c>
      <c r="N920" s="120">
        <v>1376</v>
      </c>
      <c r="O920" s="120">
        <v>142</v>
      </c>
      <c r="P920" s="120" t="s">
        <v>207</v>
      </c>
      <c r="Q920" s="120">
        <v>130</v>
      </c>
      <c r="R920" s="120" t="s">
        <v>207</v>
      </c>
      <c r="S920" s="120">
        <v>112</v>
      </c>
      <c r="T920" s="120" t="s">
        <v>207</v>
      </c>
      <c r="U920" s="120">
        <v>93</v>
      </c>
      <c r="V920" s="120" t="s">
        <v>207</v>
      </c>
      <c r="W920" s="120">
        <v>94</v>
      </c>
      <c r="X920" s="120" t="s">
        <v>207</v>
      </c>
      <c r="Y920" s="120">
        <v>72</v>
      </c>
      <c r="Z920" s="120" t="s">
        <v>207</v>
      </c>
      <c r="AA920" s="120">
        <v>13</v>
      </c>
      <c r="AB920" s="120" t="s">
        <v>207</v>
      </c>
      <c r="AC920" s="120">
        <v>98</v>
      </c>
      <c r="AD920" s="120" t="s">
        <v>207</v>
      </c>
      <c r="AE920" s="120">
        <v>130</v>
      </c>
      <c r="AF920" s="120" t="s">
        <v>207</v>
      </c>
      <c r="AG920" s="120">
        <v>48</v>
      </c>
      <c r="AH920" s="120" t="s">
        <v>207</v>
      </c>
      <c r="AI920" s="120">
        <v>53</v>
      </c>
      <c r="AJ920" s="120" t="s">
        <v>207</v>
      </c>
      <c r="AK920" s="120">
        <v>102</v>
      </c>
      <c r="AL920" s="120" t="s">
        <v>207</v>
      </c>
      <c r="AM920" s="117">
        <f t="shared" si="22"/>
        <v>1087</v>
      </c>
    </row>
    <row r="921" spans="1:39" s="90" customFormat="1" ht="18" customHeight="1" x14ac:dyDescent="0.3">
      <c r="A921" s="114">
        <v>636</v>
      </c>
      <c r="B921" s="11" t="s">
        <v>1328</v>
      </c>
      <c r="C921" s="88" t="s">
        <v>268</v>
      </c>
      <c r="D921" s="88" t="s">
        <v>958</v>
      </c>
      <c r="E921" s="31" t="s">
        <v>48</v>
      </c>
      <c r="F921" s="85" t="s">
        <v>49</v>
      </c>
      <c r="G921" s="375"/>
      <c r="H921" s="365">
        <v>8</v>
      </c>
      <c r="I921" s="379"/>
      <c r="J921" s="365">
        <v>1</v>
      </c>
      <c r="K921" s="120"/>
      <c r="L921" s="120"/>
      <c r="M921" s="120">
        <v>4942</v>
      </c>
      <c r="N921" s="120">
        <v>4857</v>
      </c>
      <c r="O921" s="120">
        <v>728</v>
      </c>
      <c r="P921" s="120" t="s">
        <v>207</v>
      </c>
      <c r="Q921" s="120">
        <v>525</v>
      </c>
      <c r="R921" s="120" t="s">
        <v>207</v>
      </c>
      <c r="S921" s="120">
        <v>370</v>
      </c>
      <c r="T921" s="120" t="s">
        <v>207</v>
      </c>
      <c r="U921" s="120">
        <v>352</v>
      </c>
      <c r="V921" s="120" t="s">
        <v>207</v>
      </c>
      <c r="W921" s="120">
        <v>282</v>
      </c>
      <c r="X921" s="120" t="s">
        <v>207</v>
      </c>
      <c r="Y921" s="120">
        <v>275</v>
      </c>
      <c r="Z921" s="120" t="s">
        <v>207</v>
      </c>
      <c r="AA921" s="120">
        <v>228</v>
      </c>
      <c r="AB921" s="120" t="s">
        <v>207</v>
      </c>
      <c r="AC921" s="120">
        <v>263</v>
      </c>
      <c r="AD921" s="120" t="s">
        <v>207</v>
      </c>
      <c r="AE921" s="120">
        <v>555</v>
      </c>
      <c r="AF921" s="120" t="s">
        <v>207</v>
      </c>
      <c r="AG921" s="120">
        <v>647</v>
      </c>
      <c r="AH921" s="120" t="s">
        <v>207</v>
      </c>
      <c r="AI921" s="120">
        <v>740</v>
      </c>
      <c r="AJ921" s="120" t="s">
        <v>207</v>
      </c>
      <c r="AK921" s="120">
        <v>854</v>
      </c>
      <c r="AL921" s="120" t="s">
        <v>207</v>
      </c>
      <c r="AM921" s="117">
        <f t="shared" si="22"/>
        <v>5819</v>
      </c>
    </row>
    <row r="922" spans="1:39" s="90" customFormat="1" ht="18" customHeight="1" x14ac:dyDescent="0.3">
      <c r="A922" s="114">
        <v>637</v>
      </c>
      <c r="B922" s="11" t="s">
        <v>1329</v>
      </c>
      <c r="C922" s="88" t="s">
        <v>268</v>
      </c>
      <c r="D922" s="88" t="s">
        <v>958</v>
      </c>
      <c r="E922" s="31" t="s">
        <v>48</v>
      </c>
      <c r="F922" s="85" t="s">
        <v>49</v>
      </c>
      <c r="G922" s="375"/>
      <c r="H922" s="365">
        <v>8</v>
      </c>
      <c r="I922" s="379"/>
      <c r="J922" s="365">
        <v>1</v>
      </c>
      <c r="K922" s="120"/>
      <c r="L922" s="120"/>
      <c r="M922" s="120"/>
      <c r="N922" s="120"/>
      <c r="O922" s="120"/>
      <c r="P922" s="120" t="s">
        <v>207</v>
      </c>
      <c r="Q922" s="120"/>
      <c r="R922" s="120" t="s">
        <v>207</v>
      </c>
      <c r="S922" s="120"/>
      <c r="T922" s="120" t="s">
        <v>207</v>
      </c>
      <c r="U922" s="120"/>
      <c r="V922" s="120" t="s">
        <v>207</v>
      </c>
      <c r="W922" s="120"/>
      <c r="X922" s="120" t="s">
        <v>207</v>
      </c>
      <c r="Y922" s="120"/>
      <c r="Z922" s="120" t="s">
        <v>207</v>
      </c>
      <c r="AA922" s="120"/>
      <c r="AB922" s="120" t="s">
        <v>207</v>
      </c>
      <c r="AC922" s="120"/>
      <c r="AD922" s="120" t="s">
        <v>207</v>
      </c>
      <c r="AE922" s="120"/>
      <c r="AF922" s="120" t="s">
        <v>207</v>
      </c>
      <c r="AG922" s="120"/>
      <c r="AH922" s="120" t="s">
        <v>207</v>
      </c>
      <c r="AI922" s="120"/>
      <c r="AJ922" s="120" t="s">
        <v>207</v>
      </c>
      <c r="AK922" s="120"/>
      <c r="AL922" s="120" t="s">
        <v>207</v>
      </c>
      <c r="AM922" s="117">
        <f t="shared" si="22"/>
        <v>0</v>
      </c>
    </row>
    <row r="923" spans="1:39" s="90" customFormat="1" ht="18" customHeight="1" x14ac:dyDescent="0.3">
      <c r="A923" s="297">
        <v>638</v>
      </c>
      <c r="B923" s="11" t="s">
        <v>1330</v>
      </c>
      <c r="C923" s="88" t="s">
        <v>268</v>
      </c>
      <c r="D923" s="88" t="s">
        <v>958</v>
      </c>
      <c r="E923" s="31" t="s">
        <v>48</v>
      </c>
      <c r="F923" s="85" t="s">
        <v>49</v>
      </c>
      <c r="G923" s="375"/>
      <c r="H923" s="365">
        <v>8</v>
      </c>
      <c r="I923" s="379"/>
      <c r="J923" s="365">
        <v>1</v>
      </c>
      <c r="K923" s="120"/>
      <c r="L923" s="120"/>
      <c r="M923" s="120"/>
      <c r="N923" s="120"/>
      <c r="O923" s="120"/>
      <c r="P923" s="120" t="s">
        <v>207</v>
      </c>
      <c r="Q923" s="120"/>
      <c r="R923" s="120" t="s">
        <v>207</v>
      </c>
      <c r="S923" s="120"/>
      <c r="T923" s="120" t="s">
        <v>207</v>
      </c>
      <c r="U923" s="120"/>
      <c r="V923" s="120" t="s">
        <v>207</v>
      </c>
      <c r="W923" s="120"/>
      <c r="X923" s="120" t="s">
        <v>207</v>
      </c>
      <c r="Y923" s="120"/>
      <c r="Z923" s="120" t="s">
        <v>207</v>
      </c>
      <c r="AA923" s="120"/>
      <c r="AB923" s="120" t="s">
        <v>207</v>
      </c>
      <c r="AC923" s="120"/>
      <c r="AD923" s="120" t="s">
        <v>207</v>
      </c>
      <c r="AE923" s="120"/>
      <c r="AF923" s="120" t="s">
        <v>207</v>
      </c>
      <c r="AG923" s="120"/>
      <c r="AH923" s="120" t="s">
        <v>207</v>
      </c>
      <c r="AI923" s="120"/>
      <c r="AJ923" s="120" t="s">
        <v>207</v>
      </c>
      <c r="AK923" s="120"/>
      <c r="AL923" s="120" t="s">
        <v>207</v>
      </c>
      <c r="AM923" s="117">
        <f t="shared" si="22"/>
        <v>0</v>
      </c>
    </row>
    <row r="924" spans="1:39" s="90" customFormat="1" ht="18" customHeight="1" x14ac:dyDescent="0.3">
      <c r="A924" s="114">
        <v>639</v>
      </c>
      <c r="B924" s="11" t="s">
        <v>1331</v>
      </c>
      <c r="C924" s="88" t="s">
        <v>268</v>
      </c>
      <c r="D924" s="88" t="s">
        <v>958</v>
      </c>
      <c r="E924" s="31" t="s">
        <v>48</v>
      </c>
      <c r="F924" s="85" t="s">
        <v>49</v>
      </c>
      <c r="G924" s="375"/>
      <c r="H924" s="365">
        <v>8</v>
      </c>
      <c r="I924" s="379"/>
      <c r="J924" s="365">
        <v>1</v>
      </c>
      <c r="K924" s="120"/>
      <c r="L924" s="120"/>
      <c r="M924" s="120">
        <v>1674</v>
      </c>
      <c r="N924" s="120">
        <v>1157</v>
      </c>
      <c r="O924" s="120">
        <v>229</v>
      </c>
      <c r="P924" s="120" t="s">
        <v>207</v>
      </c>
      <c r="Q924" s="120">
        <v>150</v>
      </c>
      <c r="R924" s="120" t="s">
        <v>207</v>
      </c>
      <c r="S924" s="120">
        <v>115</v>
      </c>
      <c r="T924" s="120" t="s">
        <v>207</v>
      </c>
      <c r="U924" s="120">
        <v>149</v>
      </c>
      <c r="V924" s="120" t="s">
        <v>207</v>
      </c>
      <c r="W924" s="120">
        <v>135</v>
      </c>
      <c r="X924" s="120" t="s">
        <v>207</v>
      </c>
      <c r="Y924" s="120">
        <v>108</v>
      </c>
      <c r="Z924" s="120" t="s">
        <v>207</v>
      </c>
      <c r="AA924" s="120">
        <v>89</v>
      </c>
      <c r="AB924" s="120" t="s">
        <v>207</v>
      </c>
      <c r="AC924" s="120">
        <v>81</v>
      </c>
      <c r="AD924" s="120" t="s">
        <v>207</v>
      </c>
      <c r="AE924" s="120">
        <v>162</v>
      </c>
      <c r="AF924" s="120" t="s">
        <v>207</v>
      </c>
      <c r="AG924" s="120">
        <v>216</v>
      </c>
      <c r="AH924" s="120" t="s">
        <v>207</v>
      </c>
      <c r="AI924" s="120">
        <v>514</v>
      </c>
      <c r="AJ924" s="120" t="s">
        <v>207</v>
      </c>
      <c r="AK924" s="120">
        <v>369</v>
      </c>
      <c r="AL924" s="120" t="s">
        <v>207</v>
      </c>
      <c r="AM924" s="117">
        <f t="shared" si="22"/>
        <v>2317</v>
      </c>
    </row>
    <row r="925" spans="1:39" s="90" customFormat="1" ht="18" customHeight="1" x14ac:dyDescent="0.3">
      <c r="A925" s="114">
        <v>640</v>
      </c>
      <c r="B925" s="11" t="s">
        <v>1332</v>
      </c>
      <c r="C925" s="88" t="s">
        <v>268</v>
      </c>
      <c r="D925" s="88" t="s">
        <v>958</v>
      </c>
      <c r="E925" s="31" t="s">
        <v>48</v>
      </c>
      <c r="F925" s="85" t="s">
        <v>49</v>
      </c>
      <c r="G925" s="375"/>
      <c r="H925" s="365">
        <v>8</v>
      </c>
      <c r="I925" s="379"/>
      <c r="J925" s="365">
        <v>1</v>
      </c>
      <c r="K925" s="120"/>
      <c r="L925" s="120"/>
      <c r="M925" s="120">
        <v>1673</v>
      </c>
      <c r="N925" s="120">
        <v>1441</v>
      </c>
      <c r="O925" s="120">
        <v>192</v>
      </c>
      <c r="P925" s="120" t="s">
        <v>207</v>
      </c>
      <c r="Q925" s="120">
        <v>158</v>
      </c>
      <c r="R925" s="120" t="s">
        <v>207</v>
      </c>
      <c r="S925" s="120">
        <v>112</v>
      </c>
      <c r="T925" s="120" t="s">
        <v>207</v>
      </c>
      <c r="U925" s="120">
        <v>81</v>
      </c>
      <c r="V925" s="120" t="s">
        <v>207</v>
      </c>
      <c r="W925" s="120">
        <v>107</v>
      </c>
      <c r="X925" s="120" t="s">
        <v>207</v>
      </c>
      <c r="Y925" s="120">
        <v>112</v>
      </c>
      <c r="Z925" s="120" t="s">
        <v>207</v>
      </c>
      <c r="AA925" s="120">
        <v>261</v>
      </c>
      <c r="AB925" s="120" t="s">
        <v>207</v>
      </c>
      <c r="AC925" s="120">
        <v>102</v>
      </c>
      <c r="AD925" s="120" t="s">
        <v>207</v>
      </c>
      <c r="AE925" s="120">
        <v>105</v>
      </c>
      <c r="AF925" s="120" t="s">
        <v>207</v>
      </c>
      <c r="AG925" s="120">
        <v>122</v>
      </c>
      <c r="AH925" s="120" t="s">
        <v>207</v>
      </c>
      <c r="AI925" s="120">
        <v>170</v>
      </c>
      <c r="AJ925" s="120" t="s">
        <v>207</v>
      </c>
      <c r="AK925" s="120">
        <v>339</v>
      </c>
      <c r="AL925" s="120" t="s">
        <v>207</v>
      </c>
      <c r="AM925" s="117">
        <f t="shared" si="22"/>
        <v>1861</v>
      </c>
    </row>
    <row r="926" spans="1:39" s="90" customFormat="1" ht="18" customHeight="1" x14ac:dyDescent="0.3">
      <c r="A926" s="297">
        <v>641</v>
      </c>
      <c r="B926" s="11" t="s">
        <v>1333</v>
      </c>
      <c r="C926" s="88" t="s">
        <v>268</v>
      </c>
      <c r="D926" s="88" t="s">
        <v>958</v>
      </c>
      <c r="E926" s="31" t="s">
        <v>48</v>
      </c>
      <c r="F926" s="85" t="s">
        <v>49</v>
      </c>
      <c r="G926" s="375"/>
      <c r="H926" s="365">
        <v>18</v>
      </c>
      <c r="I926" s="379"/>
      <c r="J926" s="365">
        <v>3</v>
      </c>
      <c r="K926" s="120"/>
      <c r="L926" s="120"/>
      <c r="M926" s="120">
        <v>44025</v>
      </c>
      <c r="N926" s="120">
        <v>23702</v>
      </c>
      <c r="O926" s="120">
        <v>1504</v>
      </c>
      <c r="P926" s="120" t="s">
        <v>207</v>
      </c>
      <c r="Q926" s="120">
        <v>1630</v>
      </c>
      <c r="R926" s="120" t="s">
        <v>207</v>
      </c>
      <c r="S926" s="120">
        <v>1375</v>
      </c>
      <c r="T926" s="120" t="s">
        <v>207</v>
      </c>
      <c r="U926" s="120">
        <v>658</v>
      </c>
      <c r="V926" s="120" t="s">
        <v>207</v>
      </c>
      <c r="W926" s="120">
        <v>959</v>
      </c>
      <c r="X926" s="120" t="s">
        <v>207</v>
      </c>
      <c r="Y926" s="120">
        <v>855</v>
      </c>
      <c r="Z926" s="120" t="s">
        <v>207</v>
      </c>
      <c r="AA926" s="120">
        <v>1877</v>
      </c>
      <c r="AB926" s="120" t="s">
        <v>207</v>
      </c>
      <c r="AC926" s="120">
        <v>1416</v>
      </c>
      <c r="AD926" s="120" t="s">
        <v>207</v>
      </c>
      <c r="AE926" s="120">
        <v>1800</v>
      </c>
      <c r="AF926" s="120" t="s">
        <v>207</v>
      </c>
      <c r="AG926" s="120">
        <v>2482</v>
      </c>
      <c r="AH926" s="120" t="s">
        <v>207</v>
      </c>
      <c r="AI926" s="120">
        <v>2669</v>
      </c>
      <c r="AJ926" s="120" t="s">
        <v>207</v>
      </c>
      <c r="AK926" s="120">
        <v>3441</v>
      </c>
      <c r="AL926" s="120" t="s">
        <v>207</v>
      </c>
      <c r="AM926" s="117">
        <f t="shared" si="22"/>
        <v>20666</v>
      </c>
    </row>
    <row r="927" spans="1:39" s="90" customFormat="1" ht="18" customHeight="1" x14ac:dyDescent="0.3">
      <c r="A927" s="114">
        <v>642</v>
      </c>
      <c r="B927" s="11" t="s">
        <v>1334</v>
      </c>
      <c r="C927" s="88" t="s">
        <v>268</v>
      </c>
      <c r="D927" s="88" t="s">
        <v>958</v>
      </c>
      <c r="E927" s="31" t="s">
        <v>48</v>
      </c>
      <c r="F927" s="85" t="s">
        <v>49</v>
      </c>
      <c r="G927" s="375"/>
      <c r="H927" s="365">
        <v>19</v>
      </c>
      <c r="I927" s="379"/>
      <c r="J927" s="365">
        <v>3</v>
      </c>
      <c r="K927" s="120"/>
      <c r="L927" s="120"/>
      <c r="M927" s="120">
        <v>8377</v>
      </c>
      <c r="N927" s="120">
        <v>5995</v>
      </c>
      <c r="O927" s="120">
        <v>519</v>
      </c>
      <c r="P927" s="120" t="s">
        <v>207</v>
      </c>
      <c r="Q927" s="120">
        <v>671</v>
      </c>
      <c r="R927" s="120" t="s">
        <v>207</v>
      </c>
      <c r="S927" s="120">
        <v>671</v>
      </c>
      <c r="T927" s="120" t="s">
        <v>207</v>
      </c>
      <c r="U927" s="120">
        <v>782</v>
      </c>
      <c r="V927" s="120" t="s">
        <v>207</v>
      </c>
      <c r="W927" s="120">
        <v>443</v>
      </c>
      <c r="X927" s="120" t="s">
        <v>207</v>
      </c>
      <c r="Y927" s="120">
        <v>255</v>
      </c>
      <c r="Z927" s="120" t="s">
        <v>207</v>
      </c>
      <c r="AA927" s="120">
        <v>255</v>
      </c>
      <c r="AB927" s="120" t="s">
        <v>207</v>
      </c>
      <c r="AC927" s="120">
        <v>168</v>
      </c>
      <c r="AD927" s="120" t="s">
        <v>207</v>
      </c>
      <c r="AE927" s="120">
        <v>345</v>
      </c>
      <c r="AF927" s="120" t="s">
        <v>207</v>
      </c>
      <c r="AG927" s="120">
        <v>663</v>
      </c>
      <c r="AH927" s="120" t="s">
        <v>207</v>
      </c>
      <c r="AI927" s="120">
        <v>1016</v>
      </c>
      <c r="AJ927" s="120" t="s">
        <v>207</v>
      </c>
      <c r="AK927" s="120">
        <v>1020</v>
      </c>
      <c r="AL927" s="120" t="s">
        <v>207</v>
      </c>
      <c r="AM927" s="117">
        <f t="shared" si="22"/>
        <v>6808</v>
      </c>
    </row>
    <row r="928" spans="1:39" s="90" customFormat="1" ht="18" customHeight="1" x14ac:dyDescent="0.3">
      <c r="A928" s="114">
        <v>643</v>
      </c>
      <c r="B928" s="11" t="s">
        <v>1335</v>
      </c>
      <c r="C928" s="88" t="s">
        <v>268</v>
      </c>
      <c r="D928" s="88" t="s">
        <v>958</v>
      </c>
      <c r="E928" s="31" t="s">
        <v>48</v>
      </c>
      <c r="F928" s="85" t="s">
        <v>49</v>
      </c>
      <c r="G928" s="375"/>
      <c r="H928" s="365">
        <v>20</v>
      </c>
      <c r="I928" s="379"/>
      <c r="J928" s="365">
        <v>3</v>
      </c>
      <c r="K928" s="120"/>
      <c r="L928" s="120"/>
      <c r="M928" s="120"/>
      <c r="N928" s="120">
        <v>8445</v>
      </c>
      <c r="O928" s="120"/>
      <c r="P928" s="120" t="s">
        <v>207</v>
      </c>
      <c r="Q928" s="120"/>
      <c r="R928" s="120" t="s">
        <v>207</v>
      </c>
      <c r="S928" s="120"/>
      <c r="T928" s="120" t="s">
        <v>207</v>
      </c>
      <c r="U928" s="120"/>
      <c r="V928" s="120" t="s">
        <v>207</v>
      </c>
      <c r="W928" s="120"/>
      <c r="X928" s="120" t="s">
        <v>207</v>
      </c>
      <c r="Y928" s="120"/>
      <c r="Z928" s="120" t="s">
        <v>207</v>
      </c>
      <c r="AA928" s="120"/>
      <c r="AB928" s="120" t="s">
        <v>207</v>
      </c>
      <c r="AC928" s="120"/>
      <c r="AD928" s="120" t="s">
        <v>207</v>
      </c>
      <c r="AE928" s="120"/>
      <c r="AF928" s="120" t="s">
        <v>207</v>
      </c>
      <c r="AG928" s="120"/>
      <c r="AH928" s="120" t="s">
        <v>207</v>
      </c>
      <c r="AI928" s="120"/>
      <c r="AJ928" s="120" t="s">
        <v>207</v>
      </c>
      <c r="AK928" s="120"/>
      <c r="AL928" s="120" t="s">
        <v>207</v>
      </c>
      <c r="AM928" s="117">
        <f t="shared" si="22"/>
        <v>0</v>
      </c>
    </row>
    <row r="929" spans="1:39" s="90" customFormat="1" ht="18" customHeight="1" x14ac:dyDescent="0.3">
      <c r="A929" s="297">
        <v>644</v>
      </c>
      <c r="B929" s="11" t="s">
        <v>1336</v>
      </c>
      <c r="C929" s="88" t="s">
        <v>268</v>
      </c>
      <c r="D929" s="88" t="s">
        <v>958</v>
      </c>
      <c r="E929" s="31" t="s">
        <v>48</v>
      </c>
      <c r="F929" s="85" t="s">
        <v>49</v>
      </c>
      <c r="G929" s="375"/>
      <c r="H929" s="365">
        <v>21</v>
      </c>
      <c r="I929" s="379"/>
      <c r="J929" s="365">
        <v>3</v>
      </c>
      <c r="K929" s="120"/>
      <c r="L929" s="120"/>
      <c r="M929" s="120"/>
      <c r="N929" s="120">
        <v>5503</v>
      </c>
      <c r="O929" s="120"/>
      <c r="P929" s="120" t="s">
        <v>207</v>
      </c>
      <c r="Q929" s="120"/>
      <c r="R929" s="120" t="s">
        <v>207</v>
      </c>
      <c r="S929" s="120"/>
      <c r="T929" s="120" t="s">
        <v>207</v>
      </c>
      <c r="U929" s="120"/>
      <c r="V929" s="120" t="s">
        <v>207</v>
      </c>
      <c r="W929" s="120"/>
      <c r="X929" s="120" t="s">
        <v>207</v>
      </c>
      <c r="Y929" s="120"/>
      <c r="Z929" s="120" t="s">
        <v>207</v>
      </c>
      <c r="AA929" s="120"/>
      <c r="AB929" s="120" t="s">
        <v>207</v>
      </c>
      <c r="AC929" s="120"/>
      <c r="AD929" s="120" t="s">
        <v>207</v>
      </c>
      <c r="AE929" s="120"/>
      <c r="AF929" s="120" t="s">
        <v>207</v>
      </c>
      <c r="AG929" s="120"/>
      <c r="AH929" s="120" t="s">
        <v>207</v>
      </c>
      <c r="AI929" s="120"/>
      <c r="AJ929" s="120" t="s">
        <v>207</v>
      </c>
      <c r="AK929" s="120"/>
      <c r="AL929" s="120" t="s">
        <v>207</v>
      </c>
      <c r="AM929" s="117">
        <f t="shared" si="22"/>
        <v>0</v>
      </c>
    </row>
    <row r="930" spans="1:39" s="90" customFormat="1" ht="18" customHeight="1" x14ac:dyDescent="0.3">
      <c r="A930" s="114">
        <v>645</v>
      </c>
      <c r="B930" s="11" t="s">
        <v>1337</v>
      </c>
      <c r="C930" s="88" t="s">
        <v>268</v>
      </c>
      <c r="D930" s="88" t="s">
        <v>958</v>
      </c>
      <c r="E930" s="31" t="s">
        <v>48</v>
      </c>
      <c r="F930" s="85" t="s">
        <v>49</v>
      </c>
      <c r="G930" s="375"/>
      <c r="H930" s="365">
        <v>18</v>
      </c>
      <c r="I930" s="379"/>
      <c r="J930" s="365">
        <v>3</v>
      </c>
      <c r="K930" s="120"/>
      <c r="L930" s="120"/>
      <c r="M930" s="120">
        <v>4010</v>
      </c>
      <c r="N930" s="120">
        <v>3563</v>
      </c>
      <c r="O930" s="120">
        <v>493</v>
      </c>
      <c r="P930" s="120" t="s">
        <v>207</v>
      </c>
      <c r="Q930" s="120">
        <v>307</v>
      </c>
      <c r="R930" s="120" t="s">
        <v>207</v>
      </c>
      <c r="S930" s="120">
        <v>357</v>
      </c>
      <c r="T930" s="120" t="s">
        <v>207</v>
      </c>
      <c r="U930" s="120">
        <v>308</v>
      </c>
      <c r="V930" s="120" t="s">
        <v>207</v>
      </c>
      <c r="W930" s="120">
        <v>231</v>
      </c>
      <c r="X930" s="120" t="s">
        <v>207</v>
      </c>
      <c r="Y930" s="120">
        <v>252</v>
      </c>
      <c r="Z930" s="120" t="s">
        <v>207</v>
      </c>
      <c r="AA930" s="120">
        <v>273</v>
      </c>
      <c r="AB930" s="120" t="s">
        <v>207</v>
      </c>
      <c r="AC930" s="120">
        <v>154</v>
      </c>
      <c r="AD930" s="120" t="s">
        <v>207</v>
      </c>
      <c r="AE930" s="120">
        <v>265</v>
      </c>
      <c r="AF930" s="120" t="s">
        <v>207</v>
      </c>
      <c r="AG930" s="120">
        <v>300</v>
      </c>
      <c r="AH930" s="120" t="s">
        <v>207</v>
      </c>
      <c r="AI930" s="120">
        <v>354</v>
      </c>
      <c r="AJ930" s="120" t="s">
        <v>207</v>
      </c>
      <c r="AK930" s="120">
        <v>448</v>
      </c>
      <c r="AL930" s="120" t="s">
        <v>207</v>
      </c>
      <c r="AM930" s="117">
        <f t="shared" si="22"/>
        <v>3742</v>
      </c>
    </row>
    <row r="931" spans="1:39" s="90" customFormat="1" ht="18" customHeight="1" x14ac:dyDescent="0.3">
      <c r="A931" s="114">
        <v>646</v>
      </c>
      <c r="B931" s="11" t="s">
        <v>1338</v>
      </c>
      <c r="C931" s="88" t="s">
        <v>268</v>
      </c>
      <c r="D931" s="88" t="s">
        <v>958</v>
      </c>
      <c r="E931" s="31" t="s">
        <v>48</v>
      </c>
      <c r="F931" s="85" t="s">
        <v>49</v>
      </c>
      <c r="G931" s="375"/>
      <c r="H931" s="365">
        <v>18</v>
      </c>
      <c r="I931" s="379"/>
      <c r="J931" s="365">
        <v>3</v>
      </c>
      <c r="K931" s="120"/>
      <c r="L931" s="120"/>
      <c r="M931" s="120"/>
      <c r="N931" s="120">
        <v>12977</v>
      </c>
      <c r="O931" s="120"/>
      <c r="P931" s="120" t="s">
        <v>207</v>
      </c>
      <c r="Q931" s="120"/>
      <c r="R931" s="120" t="s">
        <v>207</v>
      </c>
      <c r="S931" s="120"/>
      <c r="T931" s="120" t="s">
        <v>207</v>
      </c>
      <c r="U931" s="120"/>
      <c r="V931" s="120" t="s">
        <v>207</v>
      </c>
      <c r="W931" s="120"/>
      <c r="X931" s="120" t="s">
        <v>207</v>
      </c>
      <c r="Y931" s="120"/>
      <c r="Z931" s="120" t="s">
        <v>207</v>
      </c>
      <c r="AA931" s="120"/>
      <c r="AB931" s="120" t="s">
        <v>207</v>
      </c>
      <c r="AC931" s="120"/>
      <c r="AD931" s="120" t="s">
        <v>207</v>
      </c>
      <c r="AE931" s="120"/>
      <c r="AF931" s="120" t="s">
        <v>207</v>
      </c>
      <c r="AG931" s="120"/>
      <c r="AH931" s="120" t="s">
        <v>207</v>
      </c>
      <c r="AI931" s="120"/>
      <c r="AJ931" s="120" t="s">
        <v>207</v>
      </c>
      <c r="AK931" s="120"/>
      <c r="AL931" s="120" t="s">
        <v>207</v>
      </c>
      <c r="AM931" s="117">
        <f t="shared" si="22"/>
        <v>0</v>
      </c>
    </row>
    <row r="932" spans="1:39" s="90" customFormat="1" ht="18" customHeight="1" x14ac:dyDescent="0.3">
      <c r="A932" s="114">
        <v>647</v>
      </c>
      <c r="B932" s="11" t="s">
        <v>1339</v>
      </c>
      <c r="C932" s="88" t="s">
        <v>268</v>
      </c>
      <c r="D932" s="88" t="s">
        <v>958</v>
      </c>
      <c r="E932" s="31" t="s">
        <v>48</v>
      </c>
      <c r="F932" s="85" t="s">
        <v>49</v>
      </c>
      <c r="G932" s="375"/>
      <c r="H932" s="365">
        <v>18</v>
      </c>
      <c r="I932" s="379"/>
      <c r="J932" s="365">
        <v>3</v>
      </c>
      <c r="K932" s="120"/>
      <c r="L932" s="120"/>
      <c r="M932" s="120">
        <v>150012</v>
      </c>
      <c r="N932" s="120">
        <v>49364</v>
      </c>
      <c r="O932" s="120">
        <v>7440</v>
      </c>
      <c r="P932" s="120" t="s">
        <v>207</v>
      </c>
      <c r="Q932" s="120">
        <v>6720</v>
      </c>
      <c r="R932" s="120" t="s">
        <v>207</v>
      </c>
      <c r="S932" s="120">
        <v>7200</v>
      </c>
      <c r="T932" s="120" t="s">
        <v>207</v>
      </c>
      <c r="U932" s="120">
        <v>7200</v>
      </c>
      <c r="V932" s="120" t="s">
        <v>207</v>
      </c>
      <c r="W932" s="120">
        <v>7200</v>
      </c>
      <c r="X932" s="120" t="s">
        <v>207</v>
      </c>
      <c r="Y932" s="120">
        <v>3096</v>
      </c>
      <c r="Z932" s="120" t="s">
        <v>207</v>
      </c>
      <c r="AA932" s="120">
        <v>0</v>
      </c>
      <c r="AB932" s="120" t="s">
        <v>207</v>
      </c>
      <c r="AC932" s="120">
        <v>0</v>
      </c>
      <c r="AD932" s="120" t="s">
        <v>207</v>
      </c>
      <c r="AE932" s="120">
        <v>0</v>
      </c>
      <c r="AF932" s="120" t="s">
        <v>207</v>
      </c>
      <c r="AG932" s="120">
        <v>0</v>
      </c>
      <c r="AH932" s="120" t="s">
        <v>207</v>
      </c>
      <c r="AI932" s="120">
        <v>0</v>
      </c>
      <c r="AJ932" s="120" t="s">
        <v>207</v>
      </c>
      <c r="AK932" s="120">
        <v>0</v>
      </c>
      <c r="AL932" s="120" t="s">
        <v>207</v>
      </c>
      <c r="AM932" s="117">
        <f t="shared" si="22"/>
        <v>38856</v>
      </c>
    </row>
    <row r="933" spans="1:39" s="3" customFormat="1" ht="18" customHeight="1" x14ac:dyDescent="0.3">
      <c r="A933" s="424">
        <v>648</v>
      </c>
      <c r="B933" s="422" t="s">
        <v>1340</v>
      </c>
      <c r="C933" s="11" t="s">
        <v>268</v>
      </c>
      <c r="D933" s="11" t="s">
        <v>1736</v>
      </c>
      <c r="E933" s="31" t="s">
        <v>144</v>
      </c>
      <c r="F933" s="23" t="s">
        <v>49</v>
      </c>
      <c r="G933" s="426" t="s">
        <v>1737</v>
      </c>
      <c r="H933" s="131">
        <v>35</v>
      </c>
      <c r="I933" s="158" t="s">
        <v>1738</v>
      </c>
      <c r="J933" s="131">
        <v>0</v>
      </c>
      <c r="K933" s="132" t="s">
        <v>218</v>
      </c>
      <c r="L933" s="132" t="s">
        <v>218</v>
      </c>
      <c r="M933" s="23">
        <v>3600</v>
      </c>
      <c r="N933" s="132">
        <v>3369</v>
      </c>
      <c r="O933" s="327">
        <v>269</v>
      </c>
      <c r="P933" s="327" t="s">
        <v>515</v>
      </c>
      <c r="Q933" s="327">
        <v>310</v>
      </c>
      <c r="R933" s="327" t="s">
        <v>515</v>
      </c>
      <c r="S933" s="327">
        <v>292</v>
      </c>
      <c r="T933" s="327" t="s">
        <v>515</v>
      </c>
      <c r="U933" s="327">
        <v>323</v>
      </c>
      <c r="V933" s="327" t="s">
        <v>515</v>
      </c>
      <c r="W933" s="327">
        <v>300</v>
      </c>
      <c r="X933" s="133" t="s">
        <v>515</v>
      </c>
      <c r="Y933" s="327">
        <v>306</v>
      </c>
      <c r="Z933" s="327" t="s">
        <v>515</v>
      </c>
      <c r="AA933" s="327">
        <v>243</v>
      </c>
      <c r="AB933" s="133" t="s">
        <v>515</v>
      </c>
      <c r="AC933" s="327">
        <v>277</v>
      </c>
      <c r="AD933" s="327" t="s">
        <v>515</v>
      </c>
      <c r="AE933" s="327">
        <v>299</v>
      </c>
      <c r="AF933" s="133" t="s">
        <v>515</v>
      </c>
      <c r="AG933" s="327">
        <v>250</v>
      </c>
      <c r="AH933" s="327" t="s">
        <v>515</v>
      </c>
      <c r="AI933" s="327">
        <v>254</v>
      </c>
      <c r="AJ933" s="133" t="s">
        <v>515</v>
      </c>
      <c r="AK933" s="327">
        <v>246</v>
      </c>
      <c r="AL933" s="327" t="s">
        <v>515</v>
      </c>
      <c r="AM933" s="327">
        <f>SUM(O933+Q933+S933+U933+W933+Y933+AA933+AC933+AE933+AG933+AI933+AK933)</f>
        <v>3369</v>
      </c>
    </row>
    <row r="934" spans="1:39" ht="18" customHeight="1" x14ac:dyDescent="0.3">
      <c r="A934" s="425"/>
      <c r="B934" s="423"/>
      <c r="C934" s="11" t="s">
        <v>268</v>
      </c>
      <c r="D934" s="11" t="s">
        <v>1736</v>
      </c>
      <c r="E934" s="31" t="s">
        <v>48</v>
      </c>
      <c r="F934" s="23" t="s">
        <v>49</v>
      </c>
      <c r="G934" s="427"/>
      <c r="H934" s="131"/>
      <c r="I934" s="158" t="s">
        <v>1738</v>
      </c>
      <c r="J934" s="131"/>
      <c r="K934" s="132" t="s">
        <v>218</v>
      </c>
      <c r="L934" s="132" t="s">
        <v>218</v>
      </c>
      <c r="M934" s="23">
        <v>2863</v>
      </c>
      <c r="N934" s="132">
        <v>4059.65</v>
      </c>
      <c r="O934" s="327">
        <v>266</v>
      </c>
      <c r="P934" s="327" t="s">
        <v>515</v>
      </c>
      <c r="Q934" s="327">
        <v>282</v>
      </c>
      <c r="R934" s="327" t="s">
        <v>515</v>
      </c>
      <c r="S934" s="327">
        <v>300</v>
      </c>
      <c r="T934" s="327" t="s">
        <v>515</v>
      </c>
      <c r="U934" s="327">
        <v>220</v>
      </c>
      <c r="V934" s="327" t="s">
        <v>515</v>
      </c>
      <c r="W934" s="327">
        <v>231</v>
      </c>
      <c r="X934" s="133" t="s">
        <v>515</v>
      </c>
      <c r="Y934" s="327">
        <v>1342</v>
      </c>
      <c r="Z934" s="327" t="s">
        <v>515</v>
      </c>
      <c r="AA934" s="327">
        <v>198</v>
      </c>
      <c r="AB934" s="133" t="s">
        <v>515</v>
      </c>
      <c r="AC934" s="327">
        <v>249</v>
      </c>
      <c r="AD934" s="327" t="s">
        <v>515</v>
      </c>
      <c r="AE934" s="327">
        <v>258</v>
      </c>
      <c r="AF934" s="133" t="s">
        <v>515</v>
      </c>
      <c r="AG934" s="327">
        <v>234</v>
      </c>
      <c r="AH934" s="327" t="s">
        <v>515</v>
      </c>
      <c r="AI934" s="327">
        <v>426</v>
      </c>
      <c r="AJ934" s="133" t="s">
        <v>515</v>
      </c>
      <c r="AK934" s="327">
        <v>383</v>
      </c>
      <c r="AL934" s="327" t="s">
        <v>515</v>
      </c>
      <c r="AM934" s="327">
        <f t="shared" ref="AM934:AM997" si="23">SUM(O934+Q934+S934+U934+W934+Y934+AA934+AC934+AE934+AG934+AI934+AK934)</f>
        <v>4389</v>
      </c>
    </row>
    <row r="935" spans="1:39" ht="18" customHeight="1" x14ac:dyDescent="0.3">
      <c r="A935" s="424">
        <f>A933+1</f>
        <v>649</v>
      </c>
      <c r="B935" s="422" t="s">
        <v>1341</v>
      </c>
      <c r="C935" s="11" t="s">
        <v>268</v>
      </c>
      <c r="D935" s="11" t="s">
        <v>1736</v>
      </c>
      <c r="E935" s="31" t="s">
        <v>144</v>
      </c>
      <c r="F935" s="23" t="s">
        <v>49</v>
      </c>
      <c r="G935" s="426" t="s">
        <v>1737</v>
      </c>
      <c r="H935" s="133">
        <v>52</v>
      </c>
      <c r="I935" s="158" t="s">
        <v>1738</v>
      </c>
      <c r="J935" s="133">
        <v>6</v>
      </c>
      <c r="K935" s="132" t="s">
        <v>218</v>
      </c>
      <c r="L935" s="132" t="s">
        <v>218</v>
      </c>
      <c r="M935" s="24">
        <v>0</v>
      </c>
      <c r="N935" s="330">
        <v>0</v>
      </c>
      <c r="O935" s="330">
        <v>0</v>
      </c>
      <c r="P935" s="327" t="s">
        <v>515</v>
      </c>
      <c r="Q935" s="330">
        <v>0</v>
      </c>
      <c r="R935" s="327" t="s">
        <v>515</v>
      </c>
      <c r="S935" s="330">
        <v>0</v>
      </c>
      <c r="T935" s="327" t="s">
        <v>515</v>
      </c>
      <c r="U935" s="330">
        <v>0</v>
      </c>
      <c r="V935" s="327" t="s">
        <v>515</v>
      </c>
      <c r="W935" s="330">
        <v>0</v>
      </c>
      <c r="X935" s="133" t="s">
        <v>515</v>
      </c>
      <c r="Y935" s="330">
        <v>0</v>
      </c>
      <c r="Z935" s="327" t="s">
        <v>515</v>
      </c>
      <c r="AA935" s="330">
        <v>0</v>
      </c>
      <c r="AB935" s="133" t="s">
        <v>515</v>
      </c>
      <c r="AC935" s="330">
        <v>0</v>
      </c>
      <c r="AD935" s="327" t="s">
        <v>515</v>
      </c>
      <c r="AE935" s="330">
        <v>0</v>
      </c>
      <c r="AF935" s="133" t="s">
        <v>515</v>
      </c>
      <c r="AG935" s="330">
        <v>0</v>
      </c>
      <c r="AH935" s="327" t="s">
        <v>515</v>
      </c>
      <c r="AI935" s="330">
        <v>0</v>
      </c>
      <c r="AJ935" s="133" t="s">
        <v>515</v>
      </c>
      <c r="AK935" s="330">
        <v>0</v>
      </c>
      <c r="AL935" s="327" t="s">
        <v>515</v>
      </c>
      <c r="AM935" s="327">
        <f t="shared" si="23"/>
        <v>0</v>
      </c>
    </row>
    <row r="936" spans="1:39" ht="18" customHeight="1" x14ac:dyDescent="0.3">
      <c r="A936" s="425"/>
      <c r="B936" s="423"/>
      <c r="C936" s="11" t="s">
        <v>268</v>
      </c>
      <c r="D936" s="11" t="s">
        <v>1736</v>
      </c>
      <c r="E936" s="359" t="s">
        <v>48</v>
      </c>
      <c r="F936" s="319" t="s">
        <v>49</v>
      </c>
      <c r="G936" s="427"/>
      <c r="H936" s="366"/>
      <c r="I936" s="158" t="s">
        <v>1738</v>
      </c>
      <c r="J936" s="366"/>
      <c r="K936" s="132" t="s">
        <v>218</v>
      </c>
      <c r="L936" s="132" t="s">
        <v>218</v>
      </c>
      <c r="M936" s="333">
        <v>13313</v>
      </c>
      <c r="N936" s="370">
        <v>14111</v>
      </c>
      <c r="O936" s="370">
        <v>1703</v>
      </c>
      <c r="P936" s="327" t="s">
        <v>515</v>
      </c>
      <c r="Q936" s="370">
        <v>1046</v>
      </c>
      <c r="R936" s="327" t="s">
        <v>515</v>
      </c>
      <c r="S936" s="370">
        <v>1046</v>
      </c>
      <c r="T936" s="327" t="s">
        <v>515</v>
      </c>
      <c r="U936" s="370">
        <v>716</v>
      </c>
      <c r="V936" s="327" t="s">
        <v>515</v>
      </c>
      <c r="W936" s="370">
        <v>974</v>
      </c>
      <c r="X936" s="133" t="s">
        <v>515</v>
      </c>
      <c r="Y936" s="370">
        <v>728</v>
      </c>
      <c r="Z936" s="327" t="s">
        <v>515</v>
      </c>
      <c r="AA936" s="330">
        <v>582</v>
      </c>
      <c r="AB936" s="133" t="s">
        <v>515</v>
      </c>
      <c r="AC936" s="330">
        <v>775</v>
      </c>
      <c r="AD936" s="327" t="s">
        <v>515</v>
      </c>
      <c r="AE936" s="330">
        <v>1083</v>
      </c>
      <c r="AF936" s="133" t="s">
        <v>515</v>
      </c>
      <c r="AG936" s="330">
        <v>1102</v>
      </c>
      <c r="AH936" s="327" t="s">
        <v>515</v>
      </c>
      <c r="AI936" s="330">
        <v>869</v>
      </c>
      <c r="AJ936" s="133" t="s">
        <v>515</v>
      </c>
      <c r="AK936" s="330">
        <v>1683</v>
      </c>
      <c r="AL936" s="327" t="s">
        <v>515</v>
      </c>
      <c r="AM936" s="327">
        <f t="shared" si="23"/>
        <v>12307</v>
      </c>
    </row>
    <row r="937" spans="1:39" ht="18" customHeight="1" x14ac:dyDescent="0.3">
      <c r="A937" s="424">
        <f>A935+1</f>
        <v>650</v>
      </c>
      <c r="B937" s="422" t="s">
        <v>1342</v>
      </c>
      <c r="C937" s="11" t="s">
        <v>268</v>
      </c>
      <c r="D937" s="11" t="s">
        <v>1736</v>
      </c>
      <c r="E937" s="31" t="s">
        <v>144</v>
      </c>
      <c r="F937" s="23" t="s">
        <v>49</v>
      </c>
      <c r="G937" s="426" t="s">
        <v>1737</v>
      </c>
      <c r="H937" s="133">
        <v>45</v>
      </c>
      <c r="I937" s="158" t="s">
        <v>1738</v>
      </c>
      <c r="J937" s="133">
        <v>2</v>
      </c>
      <c r="K937" s="132" t="s">
        <v>218</v>
      </c>
      <c r="L937" s="132" t="s">
        <v>218</v>
      </c>
      <c r="M937" s="24">
        <v>1865</v>
      </c>
      <c r="N937" s="330">
        <v>2097</v>
      </c>
      <c r="O937" s="330">
        <v>166</v>
      </c>
      <c r="P937" s="327" t="s">
        <v>515</v>
      </c>
      <c r="Q937" s="330">
        <v>184</v>
      </c>
      <c r="R937" s="327" t="s">
        <v>515</v>
      </c>
      <c r="S937" s="330">
        <v>182</v>
      </c>
      <c r="T937" s="327" t="s">
        <v>515</v>
      </c>
      <c r="U937" s="330">
        <v>202</v>
      </c>
      <c r="V937" s="327" t="s">
        <v>515</v>
      </c>
      <c r="W937" s="330">
        <v>174</v>
      </c>
      <c r="X937" s="133" t="s">
        <v>515</v>
      </c>
      <c r="Y937" s="330">
        <v>179</v>
      </c>
      <c r="Z937" s="327" t="s">
        <v>515</v>
      </c>
      <c r="AA937" s="371">
        <v>137</v>
      </c>
      <c r="AB937" s="133" t="s">
        <v>515</v>
      </c>
      <c r="AC937" s="330">
        <v>187</v>
      </c>
      <c r="AD937" s="327" t="s">
        <v>515</v>
      </c>
      <c r="AE937" s="330">
        <v>187</v>
      </c>
      <c r="AF937" s="133" t="s">
        <v>515</v>
      </c>
      <c r="AG937" s="330">
        <v>162</v>
      </c>
      <c r="AH937" s="327" t="s">
        <v>515</v>
      </c>
      <c r="AI937" s="330">
        <v>173</v>
      </c>
      <c r="AJ937" s="133" t="s">
        <v>515</v>
      </c>
      <c r="AK937" s="330">
        <v>164</v>
      </c>
      <c r="AL937" s="327" t="s">
        <v>515</v>
      </c>
      <c r="AM937" s="327">
        <f t="shared" si="23"/>
        <v>2097</v>
      </c>
    </row>
    <row r="938" spans="1:39" ht="18" customHeight="1" x14ac:dyDescent="0.3">
      <c r="A938" s="425"/>
      <c r="B938" s="423"/>
      <c r="C938" s="11" t="s">
        <v>268</v>
      </c>
      <c r="D938" s="11" t="s">
        <v>1736</v>
      </c>
      <c r="E938" s="31" t="s">
        <v>48</v>
      </c>
      <c r="F938" s="23" t="s">
        <v>49</v>
      </c>
      <c r="G938" s="427"/>
      <c r="H938" s="133"/>
      <c r="I938" s="158" t="s">
        <v>1738</v>
      </c>
      <c r="J938" s="133"/>
      <c r="K938" s="132" t="s">
        <v>218</v>
      </c>
      <c r="L938" s="132" t="s">
        <v>218</v>
      </c>
      <c r="M938" s="24">
        <v>5358</v>
      </c>
      <c r="N938" s="330">
        <v>3936</v>
      </c>
      <c r="O938" s="330">
        <v>329</v>
      </c>
      <c r="P938" s="327" t="s">
        <v>515</v>
      </c>
      <c r="Q938" s="330">
        <v>332</v>
      </c>
      <c r="R938" s="327" t="s">
        <v>515</v>
      </c>
      <c r="S938" s="330">
        <v>334</v>
      </c>
      <c r="T938" s="327" t="s">
        <v>515</v>
      </c>
      <c r="U938" s="330">
        <v>353</v>
      </c>
      <c r="V938" s="327" t="s">
        <v>515</v>
      </c>
      <c r="W938" s="330">
        <v>315</v>
      </c>
      <c r="X938" s="133" t="s">
        <v>515</v>
      </c>
      <c r="Y938" s="330">
        <v>324</v>
      </c>
      <c r="Z938" s="327" t="s">
        <v>515</v>
      </c>
      <c r="AA938" s="371">
        <v>273</v>
      </c>
      <c r="AB938" s="133" t="s">
        <v>515</v>
      </c>
      <c r="AC938" s="330">
        <v>320</v>
      </c>
      <c r="AD938" s="327" t="s">
        <v>515</v>
      </c>
      <c r="AE938" s="330">
        <v>357</v>
      </c>
      <c r="AF938" s="133" t="s">
        <v>515</v>
      </c>
      <c r="AG938" s="330">
        <v>333</v>
      </c>
      <c r="AH938" s="327" t="s">
        <v>515</v>
      </c>
      <c r="AI938" s="330">
        <v>382</v>
      </c>
      <c r="AJ938" s="133" t="s">
        <v>515</v>
      </c>
      <c r="AK938" s="330">
        <v>465</v>
      </c>
      <c r="AL938" s="327" t="s">
        <v>515</v>
      </c>
      <c r="AM938" s="327">
        <f t="shared" si="23"/>
        <v>4117</v>
      </c>
    </row>
    <row r="939" spans="1:39" ht="18" customHeight="1" x14ac:dyDescent="0.3">
      <c r="A939" s="424">
        <f>A937+1</f>
        <v>651</v>
      </c>
      <c r="B939" s="422" t="s">
        <v>1343</v>
      </c>
      <c r="C939" s="11" t="s">
        <v>268</v>
      </c>
      <c r="D939" s="11" t="s">
        <v>1736</v>
      </c>
      <c r="E939" s="31" t="s">
        <v>144</v>
      </c>
      <c r="F939" s="23" t="s">
        <v>49</v>
      </c>
      <c r="G939" s="426" t="s">
        <v>1737</v>
      </c>
      <c r="H939" s="133">
        <v>84</v>
      </c>
      <c r="I939" s="158" t="s">
        <v>1738</v>
      </c>
      <c r="J939" s="133">
        <v>6</v>
      </c>
      <c r="K939" s="132" t="s">
        <v>218</v>
      </c>
      <c r="L939" s="132" t="s">
        <v>218</v>
      </c>
      <c r="M939" s="24">
        <v>0</v>
      </c>
      <c r="N939" s="330">
        <v>0</v>
      </c>
      <c r="O939" s="330">
        <v>0</v>
      </c>
      <c r="P939" s="327" t="s">
        <v>515</v>
      </c>
      <c r="Q939" s="330">
        <v>0</v>
      </c>
      <c r="R939" s="327" t="s">
        <v>515</v>
      </c>
      <c r="S939" s="330">
        <v>0</v>
      </c>
      <c r="T939" s="327" t="s">
        <v>515</v>
      </c>
      <c r="U939" s="330">
        <v>0</v>
      </c>
      <c r="V939" s="327" t="s">
        <v>515</v>
      </c>
      <c r="W939" s="330">
        <v>0</v>
      </c>
      <c r="X939" s="133" t="s">
        <v>515</v>
      </c>
      <c r="Y939" s="330">
        <v>0</v>
      </c>
      <c r="Z939" s="327" t="s">
        <v>515</v>
      </c>
      <c r="AA939" s="371">
        <v>0</v>
      </c>
      <c r="AB939" s="133" t="s">
        <v>515</v>
      </c>
      <c r="AC939" s="330">
        <v>0</v>
      </c>
      <c r="AD939" s="327" t="s">
        <v>515</v>
      </c>
      <c r="AE939" s="330">
        <v>0</v>
      </c>
      <c r="AF939" s="133" t="s">
        <v>515</v>
      </c>
      <c r="AG939" s="330">
        <v>0</v>
      </c>
      <c r="AH939" s="327" t="s">
        <v>515</v>
      </c>
      <c r="AI939" s="330">
        <v>0</v>
      </c>
      <c r="AJ939" s="133" t="s">
        <v>515</v>
      </c>
      <c r="AK939" s="330">
        <v>0</v>
      </c>
      <c r="AL939" s="327" t="s">
        <v>515</v>
      </c>
      <c r="AM939" s="327">
        <f t="shared" si="23"/>
        <v>0</v>
      </c>
    </row>
    <row r="940" spans="1:39" ht="18" customHeight="1" x14ac:dyDescent="0.3">
      <c r="A940" s="425"/>
      <c r="B940" s="423"/>
      <c r="C940" s="11" t="s">
        <v>268</v>
      </c>
      <c r="D940" s="11" t="s">
        <v>1736</v>
      </c>
      <c r="E940" s="31" t="s">
        <v>48</v>
      </c>
      <c r="F940" s="23" t="s">
        <v>49</v>
      </c>
      <c r="G940" s="427"/>
      <c r="H940" s="133"/>
      <c r="I940" s="158" t="s">
        <v>1738</v>
      </c>
      <c r="J940" s="133"/>
      <c r="K940" s="132" t="s">
        <v>218</v>
      </c>
      <c r="L940" s="132" t="s">
        <v>218</v>
      </c>
      <c r="M940" s="24">
        <v>13502</v>
      </c>
      <c r="N940" s="330">
        <v>16383</v>
      </c>
      <c r="O940" s="330">
        <v>1647</v>
      </c>
      <c r="P940" s="327" t="s">
        <v>515</v>
      </c>
      <c r="Q940" s="330">
        <v>1296</v>
      </c>
      <c r="R940" s="327" t="s">
        <v>515</v>
      </c>
      <c r="S940" s="330">
        <v>1296</v>
      </c>
      <c r="T940" s="327" t="s">
        <v>515</v>
      </c>
      <c r="U940" s="330">
        <v>772</v>
      </c>
      <c r="V940" s="327" t="s">
        <v>515</v>
      </c>
      <c r="W940" s="330">
        <v>957</v>
      </c>
      <c r="X940" s="133" t="s">
        <v>515</v>
      </c>
      <c r="Y940" s="330">
        <v>763</v>
      </c>
      <c r="Z940" s="327" t="s">
        <v>515</v>
      </c>
      <c r="AA940" s="371">
        <v>640</v>
      </c>
      <c r="AB940" s="133" t="s">
        <v>515</v>
      </c>
      <c r="AC940" s="330">
        <v>850</v>
      </c>
      <c r="AD940" s="327" t="s">
        <v>515</v>
      </c>
      <c r="AE940" s="330">
        <v>1327</v>
      </c>
      <c r="AF940" s="133" t="s">
        <v>515</v>
      </c>
      <c r="AG940" s="330">
        <v>1332</v>
      </c>
      <c r="AH940" s="327" t="s">
        <v>515</v>
      </c>
      <c r="AI940" s="330">
        <v>1642</v>
      </c>
      <c r="AJ940" s="133" t="s">
        <v>515</v>
      </c>
      <c r="AK940" s="330">
        <v>1748</v>
      </c>
      <c r="AL940" s="327" t="s">
        <v>515</v>
      </c>
      <c r="AM940" s="327">
        <f t="shared" si="23"/>
        <v>14270</v>
      </c>
    </row>
    <row r="941" spans="1:39" ht="18" customHeight="1" x14ac:dyDescent="0.3">
      <c r="A941" s="424">
        <f>A939+1</f>
        <v>652</v>
      </c>
      <c r="B941" s="422" t="s">
        <v>1344</v>
      </c>
      <c r="C941" s="11" t="s">
        <v>268</v>
      </c>
      <c r="D941" s="11" t="s">
        <v>1736</v>
      </c>
      <c r="E941" s="31" t="s">
        <v>144</v>
      </c>
      <c r="F941" s="23" t="s">
        <v>49</v>
      </c>
      <c r="G941" s="426" t="s">
        <v>1737</v>
      </c>
      <c r="H941" s="133">
        <v>54</v>
      </c>
      <c r="I941" s="158" t="s">
        <v>1738</v>
      </c>
      <c r="J941" s="133">
        <v>9</v>
      </c>
      <c r="K941" s="132" t="s">
        <v>218</v>
      </c>
      <c r="L941" s="132" t="s">
        <v>218</v>
      </c>
      <c r="M941" s="24">
        <v>0</v>
      </c>
      <c r="N941" s="330">
        <v>0</v>
      </c>
      <c r="O941" s="368">
        <v>0</v>
      </c>
      <c r="P941" s="327" t="s">
        <v>515</v>
      </c>
      <c r="Q941" s="330">
        <v>0</v>
      </c>
      <c r="R941" s="327" t="s">
        <v>515</v>
      </c>
      <c r="S941" s="330">
        <v>0</v>
      </c>
      <c r="T941" s="327" t="s">
        <v>515</v>
      </c>
      <c r="U941" s="330">
        <v>0</v>
      </c>
      <c r="V941" s="327" t="s">
        <v>515</v>
      </c>
      <c r="W941" s="330">
        <v>0</v>
      </c>
      <c r="X941" s="133" t="s">
        <v>515</v>
      </c>
      <c r="Y941" s="330">
        <v>0</v>
      </c>
      <c r="Z941" s="327" t="s">
        <v>515</v>
      </c>
      <c r="AA941" s="371">
        <v>0</v>
      </c>
      <c r="AB941" s="133" t="s">
        <v>515</v>
      </c>
      <c r="AC941" s="330">
        <v>0</v>
      </c>
      <c r="AD941" s="327" t="s">
        <v>515</v>
      </c>
      <c r="AE941" s="330">
        <v>0</v>
      </c>
      <c r="AF941" s="133" t="s">
        <v>515</v>
      </c>
      <c r="AG941" s="330">
        <v>0</v>
      </c>
      <c r="AH941" s="327" t="s">
        <v>515</v>
      </c>
      <c r="AI941" s="330">
        <v>0</v>
      </c>
      <c r="AJ941" s="133" t="s">
        <v>515</v>
      </c>
      <c r="AK941" s="330">
        <v>0</v>
      </c>
      <c r="AL941" s="327" t="s">
        <v>515</v>
      </c>
      <c r="AM941" s="327">
        <f t="shared" si="23"/>
        <v>0</v>
      </c>
    </row>
    <row r="942" spans="1:39" ht="18" customHeight="1" x14ac:dyDescent="0.3">
      <c r="A942" s="425"/>
      <c r="B942" s="423"/>
      <c r="C942" s="11" t="s">
        <v>268</v>
      </c>
      <c r="D942" s="11" t="s">
        <v>1736</v>
      </c>
      <c r="E942" s="31" t="s">
        <v>48</v>
      </c>
      <c r="F942" s="23" t="s">
        <v>49</v>
      </c>
      <c r="G942" s="427"/>
      <c r="H942" s="133"/>
      <c r="I942" s="158" t="s">
        <v>1738</v>
      </c>
      <c r="J942" s="133"/>
      <c r="K942" s="132" t="s">
        <v>218</v>
      </c>
      <c r="L942" s="132" t="s">
        <v>218</v>
      </c>
      <c r="M942" s="24">
        <v>9988</v>
      </c>
      <c r="N942" s="330">
        <v>11505</v>
      </c>
      <c r="O942" s="368">
        <v>1418</v>
      </c>
      <c r="P942" s="327" t="s">
        <v>515</v>
      </c>
      <c r="Q942" s="330">
        <v>1025</v>
      </c>
      <c r="R942" s="327" t="s">
        <v>515</v>
      </c>
      <c r="S942" s="330">
        <v>1025</v>
      </c>
      <c r="T942" s="327" t="s">
        <v>515</v>
      </c>
      <c r="U942" s="330">
        <v>655</v>
      </c>
      <c r="V942" s="327" t="s">
        <v>515</v>
      </c>
      <c r="W942" s="330">
        <v>700</v>
      </c>
      <c r="X942" s="133" t="s">
        <v>515</v>
      </c>
      <c r="Y942" s="330">
        <v>604</v>
      </c>
      <c r="Z942" s="327" t="s">
        <v>515</v>
      </c>
      <c r="AA942" s="371">
        <v>594</v>
      </c>
      <c r="AB942" s="133" t="s">
        <v>515</v>
      </c>
      <c r="AC942" s="330">
        <v>758</v>
      </c>
      <c r="AD942" s="327" t="s">
        <v>515</v>
      </c>
      <c r="AE942" s="330">
        <v>932</v>
      </c>
      <c r="AF942" s="133" t="s">
        <v>515</v>
      </c>
      <c r="AG942" s="330">
        <v>1087</v>
      </c>
      <c r="AH942" s="327" t="s">
        <v>515</v>
      </c>
      <c r="AI942" s="330">
        <v>1105</v>
      </c>
      <c r="AJ942" s="133" t="s">
        <v>515</v>
      </c>
      <c r="AK942" s="330">
        <v>1389</v>
      </c>
      <c r="AL942" s="327" t="s">
        <v>515</v>
      </c>
      <c r="AM942" s="327">
        <f t="shared" si="23"/>
        <v>11292</v>
      </c>
    </row>
    <row r="943" spans="1:39" ht="18" customHeight="1" x14ac:dyDescent="0.3">
      <c r="A943" s="424">
        <f>A941+1</f>
        <v>653</v>
      </c>
      <c r="B943" s="422" t="s">
        <v>1345</v>
      </c>
      <c r="C943" s="11" t="s">
        <v>268</v>
      </c>
      <c r="D943" s="11" t="s">
        <v>1736</v>
      </c>
      <c r="E943" s="31" t="s">
        <v>144</v>
      </c>
      <c r="F943" s="23" t="s">
        <v>49</v>
      </c>
      <c r="G943" s="426" t="s">
        <v>1737</v>
      </c>
      <c r="H943" s="133">
        <v>84</v>
      </c>
      <c r="I943" s="158" t="s">
        <v>1738</v>
      </c>
      <c r="J943" s="133">
        <v>0</v>
      </c>
      <c r="K943" s="132" t="s">
        <v>218</v>
      </c>
      <c r="L943" s="132" t="s">
        <v>218</v>
      </c>
      <c r="M943" s="24">
        <v>0</v>
      </c>
      <c r="N943" s="330">
        <v>0</v>
      </c>
      <c r="O943" s="368">
        <v>0</v>
      </c>
      <c r="P943" s="327" t="s">
        <v>515</v>
      </c>
      <c r="Q943" s="330">
        <v>0</v>
      </c>
      <c r="R943" s="327" t="s">
        <v>515</v>
      </c>
      <c r="S943" s="330">
        <v>0</v>
      </c>
      <c r="T943" s="327" t="s">
        <v>515</v>
      </c>
      <c r="U943" s="330">
        <v>0</v>
      </c>
      <c r="V943" s="327" t="s">
        <v>515</v>
      </c>
      <c r="W943" s="330">
        <v>0</v>
      </c>
      <c r="X943" s="133" t="s">
        <v>515</v>
      </c>
      <c r="Y943" s="330">
        <v>0</v>
      </c>
      <c r="Z943" s="327" t="s">
        <v>515</v>
      </c>
      <c r="AA943" s="371">
        <v>0</v>
      </c>
      <c r="AB943" s="133" t="s">
        <v>515</v>
      </c>
      <c r="AC943" s="330">
        <v>0</v>
      </c>
      <c r="AD943" s="327" t="s">
        <v>515</v>
      </c>
      <c r="AE943" s="330">
        <v>0</v>
      </c>
      <c r="AF943" s="133" t="s">
        <v>515</v>
      </c>
      <c r="AG943" s="330">
        <v>0</v>
      </c>
      <c r="AH943" s="327" t="s">
        <v>515</v>
      </c>
      <c r="AI943" s="330">
        <v>0</v>
      </c>
      <c r="AJ943" s="133" t="s">
        <v>515</v>
      </c>
      <c r="AK943" s="330">
        <v>0</v>
      </c>
      <c r="AL943" s="327" t="s">
        <v>515</v>
      </c>
      <c r="AM943" s="327">
        <f t="shared" si="23"/>
        <v>0</v>
      </c>
    </row>
    <row r="944" spans="1:39" ht="18" customHeight="1" x14ac:dyDescent="0.3">
      <c r="A944" s="425"/>
      <c r="B944" s="423"/>
      <c r="C944" s="11" t="s">
        <v>268</v>
      </c>
      <c r="D944" s="11" t="s">
        <v>1736</v>
      </c>
      <c r="E944" s="31" t="s">
        <v>48</v>
      </c>
      <c r="F944" s="23" t="s">
        <v>49</v>
      </c>
      <c r="G944" s="427"/>
      <c r="H944" s="133"/>
      <c r="I944" s="158" t="s">
        <v>1738</v>
      </c>
      <c r="J944" s="133"/>
      <c r="K944" s="132" t="s">
        <v>218</v>
      </c>
      <c r="L944" s="132" t="s">
        <v>218</v>
      </c>
      <c r="M944" s="24">
        <v>9144</v>
      </c>
      <c r="N944" s="330">
        <v>11934</v>
      </c>
      <c r="O944" s="368">
        <v>1250</v>
      </c>
      <c r="P944" s="327" t="s">
        <v>515</v>
      </c>
      <c r="Q944" s="330">
        <v>1192</v>
      </c>
      <c r="R944" s="327" t="s">
        <v>515</v>
      </c>
      <c r="S944" s="330">
        <v>1192</v>
      </c>
      <c r="T944" s="327" t="s">
        <v>515</v>
      </c>
      <c r="U944" s="330">
        <v>824</v>
      </c>
      <c r="V944" s="327" t="s">
        <v>515</v>
      </c>
      <c r="W944" s="330">
        <v>570</v>
      </c>
      <c r="X944" s="133" t="s">
        <v>515</v>
      </c>
      <c r="Y944" s="330">
        <v>846</v>
      </c>
      <c r="Z944" s="327" t="s">
        <v>515</v>
      </c>
      <c r="AA944" s="371">
        <v>723</v>
      </c>
      <c r="AB944" s="133" t="s">
        <v>515</v>
      </c>
      <c r="AC944" s="330">
        <v>662</v>
      </c>
      <c r="AD944" s="327" t="s">
        <v>515</v>
      </c>
      <c r="AE944" s="330">
        <v>833</v>
      </c>
      <c r="AF944" s="133" t="s">
        <v>515</v>
      </c>
      <c r="AG944" s="330">
        <v>1063</v>
      </c>
      <c r="AH944" s="327" t="s">
        <v>515</v>
      </c>
      <c r="AI944" s="330">
        <v>1548</v>
      </c>
      <c r="AJ944" s="133" t="s">
        <v>515</v>
      </c>
      <c r="AK944" s="330">
        <v>1421</v>
      </c>
      <c r="AL944" s="327" t="s">
        <v>515</v>
      </c>
      <c r="AM944" s="327">
        <f t="shared" si="23"/>
        <v>12124</v>
      </c>
    </row>
    <row r="945" spans="1:39" ht="18" customHeight="1" x14ac:dyDescent="0.3">
      <c r="A945" s="424">
        <f>A943+1</f>
        <v>654</v>
      </c>
      <c r="B945" s="422" t="s">
        <v>1346</v>
      </c>
      <c r="C945" s="11" t="s">
        <v>268</v>
      </c>
      <c r="D945" s="11" t="s">
        <v>1736</v>
      </c>
      <c r="E945" s="31" t="s">
        <v>144</v>
      </c>
      <c r="F945" s="23" t="s">
        <v>49</v>
      </c>
      <c r="G945" s="426" t="s">
        <v>1737</v>
      </c>
      <c r="H945" s="133">
        <v>29</v>
      </c>
      <c r="I945" s="158" t="s">
        <v>1738</v>
      </c>
      <c r="J945" s="133">
        <v>0</v>
      </c>
      <c r="K945" s="132" t="s">
        <v>218</v>
      </c>
      <c r="L945" s="132" t="s">
        <v>218</v>
      </c>
      <c r="M945" s="24">
        <v>6546</v>
      </c>
      <c r="N945" s="330">
        <v>2287</v>
      </c>
      <c r="O945" s="368">
        <v>229</v>
      </c>
      <c r="P945" s="327" t="s">
        <v>515</v>
      </c>
      <c r="Q945" s="330">
        <v>244</v>
      </c>
      <c r="R945" s="327" t="s">
        <v>515</v>
      </c>
      <c r="S945" s="330">
        <v>205</v>
      </c>
      <c r="T945" s="327" t="s">
        <v>515</v>
      </c>
      <c r="U945" s="330">
        <v>0</v>
      </c>
      <c r="V945" s="327" t="s">
        <v>515</v>
      </c>
      <c r="W945" s="330">
        <v>226</v>
      </c>
      <c r="X945" s="133" t="s">
        <v>515</v>
      </c>
      <c r="Y945" s="330">
        <v>195</v>
      </c>
      <c r="Z945" s="327" t="s">
        <v>515</v>
      </c>
      <c r="AA945" s="371">
        <v>224</v>
      </c>
      <c r="AB945" s="133" t="s">
        <v>515</v>
      </c>
      <c r="AC945" s="330">
        <v>193</v>
      </c>
      <c r="AD945" s="327" t="s">
        <v>515</v>
      </c>
      <c r="AE945" s="330">
        <v>191</v>
      </c>
      <c r="AF945" s="133" t="s">
        <v>515</v>
      </c>
      <c r="AG945" s="330">
        <v>172</v>
      </c>
      <c r="AH945" s="327" t="s">
        <v>515</v>
      </c>
      <c r="AI945" s="330">
        <v>205</v>
      </c>
      <c r="AJ945" s="133" t="s">
        <v>515</v>
      </c>
      <c r="AK945" s="330">
        <v>203</v>
      </c>
      <c r="AL945" s="327" t="s">
        <v>515</v>
      </c>
      <c r="AM945" s="327">
        <f t="shared" si="23"/>
        <v>2287</v>
      </c>
    </row>
    <row r="946" spans="1:39" ht="18" customHeight="1" x14ac:dyDescent="0.3">
      <c r="A946" s="425"/>
      <c r="B946" s="423"/>
      <c r="C946" s="11" t="s">
        <v>268</v>
      </c>
      <c r="D946" s="11" t="s">
        <v>1736</v>
      </c>
      <c r="E946" s="31" t="s">
        <v>48</v>
      </c>
      <c r="F946" s="23" t="s">
        <v>49</v>
      </c>
      <c r="G946" s="427"/>
      <c r="H946" s="133"/>
      <c r="I946" s="158" t="s">
        <v>1738</v>
      </c>
      <c r="J946" s="133"/>
      <c r="K946" s="132" t="s">
        <v>218</v>
      </c>
      <c r="L946" s="132" t="s">
        <v>218</v>
      </c>
      <c r="M946" s="24">
        <v>3303</v>
      </c>
      <c r="N946" s="330">
        <v>6488</v>
      </c>
      <c r="O946" s="368">
        <v>528</v>
      </c>
      <c r="P946" s="327" t="s">
        <v>515</v>
      </c>
      <c r="Q946" s="330">
        <v>671</v>
      </c>
      <c r="R946" s="327" t="s">
        <v>515</v>
      </c>
      <c r="S946" s="330">
        <v>710</v>
      </c>
      <c r="T946" s="327" t="s">
        <v>515</v>
      </c>
      <c r="U946" s="330">
        <v>666</v>
      </c>
      <c r="V946" s="327" t="s">
        <v>515</v>
      </c>
      <c r="W946" s="330">
        <v>447</v>
      </c>
      <c r="X946" s="133" t="s">
        <v>515</v>
      </c>
      <c r="Y946" s="330">
        <v>487</v>
      </c>
      <c r="Z946" s="327" t="s">
        <v>515</v>
      </c>
      <c r="AA946" s="371">
        <v>494</v>
      </c>
      <c r="AB946" s="133" t="s">
        <v>515</v>
      </c>
      <c r="AC946" s="330">
        <v>413</v>
      </c>
      <c r="AD946" s="327" t="s">
        <v>515</v>
      </c>
      <c r="AE946" s="330">
        <v>494</v>
      </c>
      <c r="AF946" s="133" t="s">
        <v>515</v>
      </c>
      <c r="AG946" s="330">
        <v>458</v>
      </c>
      <c r="AH946" s="327" t="s">
        <v>515</v>
      </c>
      <c r="AI946" s="330">
        <v>529</v>
      </c>
      <c r="AJ946" s="133" t="s">
        <v>515</v>
      </c>
      <c r="AK946" s="330">
        <v>513</v>
      </c>
      <c r="AL946" s="327" t="s">
        <v>515</v>
      </c>
      <c r="AM946" s="327">
        <f t="shared" si="23"/>
        <v>6410</v>
      </c>
    </row>
    <row r="947" spans="1:39" ht="18" customHeight="1" x14ac:dyDescent="0.3">
      <c r="A947" s="424">
        <f>A945+1</f>
        <v>655</v>
      </c>
      <c r="B947" s="422" t="s">
        <v>1347</v>
      </c>
      <c r="C947" s="11" t="s">
        <v>268</v>
      </c>
      <c r="D947" s="11" t="s">
        <v>1736</v>
      </c>
      <c r="E947" s="31" t="s">
        <v>144</v>
      </c>
      <c r="F947" s="23" t="s">
        <v>49</v>
      </c>
      <c r="G947" s="426" t="s">
        <v>1737</v>
      </c>
      <c r="H947" s="133">
        <v>84</v>
      </c>
      <c r="I947" s="158" t="s">
        <v>1738</v>
      </c>
      <c r="J947" s="133">
        <v>0</v>
      </c>
      <c r="K947" s="132" t="s">
        <v>218</v>
      </c>
      <c r="L947" s="132" t="s">
        <v>218</v>
      </c>
      <c r="M947" s="24">
        <v>0</v>
      </c>
      <c r="N947" s="330">
        <v>0</v>
      </c>
      <c r="O947" s="368">
        <v>0</v>
      </c>
      <c r="P947" s="327" t="s">
        <v>515</v>
      </c>
      <c r="Q947" s="330">
        <v>0</v>
      </c>
      <c r="R947" s="327" t="s">
        <v>515</v>
      </c>
      <c r="S947" s="330">
        <v>0</v>
      </c>
      <c r="T947" s="327" t="s">
        <v>515</v>
      </c>
      <c r="U947" s="330">
        <v>0</v>
      </c>
      <c r="V947" s="327" t="s">
        <v>515</v>
      </c>
      <c r="W947" s="330">
        <v>0</v>
      </c>
      <c r="X947" s="133" t="s">
        <v>515</v>
      </c>
      <c r="Y947" s="330">
        <v>0</v>
      </c>
      <c r="Z947" s="327" t="s">
        <v>515</v>
      </c>
      <c r="AA947" s="371">
        <v>0</v>
      </c>
      <c r="AB947" s="133" t="s">
        <v>515</v>
      </c>
      <c r="AC947" s="330">
        <v>0</v>
      </c>
      <c r="AD947" s="327" t="s">
        <v>515</v>
      </c>
      <c r="AE947" s="330">
        <v>0</v>
      </c>
      <c r="AF947" s="133" t="s">
        <v>515</v>
      </c>
      <c r="AG947" s="330">
        <v>0</v>
      </c>
      <c r="AH947" s="327" t="s">
        <v>515</v>
      </c>
      <c r="AI947" s="330">
        <v>0</v>
      </c>
      <c r="AJ947" s="133" t="s">
        <v>515</v>
      </c>
      <c r="AK947" s="330">
        <v>0</v>
      </c>
      <c r="AL947" s="327" t="s">
        <v>515</v>
      </c>
      <c r="AM947" s="327">
        <f t="shared" si="23"/>
        <v>0</v>
      </c>
    </row>
    <row r="948" spans="1:39" ht="18" customHeight="1" x14ac:dyDescent="0.3">
      <c r="A948" s="425"/>
      <c r="B948" s="423"/>
      <c r="C948" s="11" t="s">
        <v>268</v>
      </c>
      <c r="D948" s="11" t="s">
        <v>1736</v>
      </c>
      <c r="E948" s="31" t="s">
        <v>48</v>
      </c>
      <c r="F948" s="23" t="s">
        <v>49</v>
      </c>
      <c r="G948" s="427"/>
      <c r="H948" s="133"/>
      <c r="I948" s="158" t="s">
        <v>1738</v>
      </c>
      <c r="J948" s="133"/>
      <c r="K948" s="132" t="s">
        <v>218</v>
      </c>
      <c r="L948" s="132" t="s">
        <v>218</v>
      </c>
      <c r="M948" s="24">
        <v>7307</v>
      </c>
      <c r="N948" s="330">
        <v>6798</v>
      </c>
      <c r="O948" s="368">
        <v>940</v>
      </c>
      <c r="P948" s="327" t="s">
        <v>515</v>
      </c>
      <c r="Q948" s="330">
        <v>467</v>
      </c>
      <c r="R948" s="327" t="s">
        <v>515</v>
      </c>
      <c r="S948" s="330">
        <v>467</v>
      </c>
      <c r="T948" s="327" t="s">
        <v>515</v>
      </c>
      <c r="U948" s="330">
        <v>285</v>
      </c>
      <c r="V948" s="327" t="s">
        <v>515</v>
      </c>
      <c r="W948" s="330">
        <v>324</v>
      </c>
      <c r="X948" s="133" t="s">
        <v>515</v>
      </c>
      <c r="Y948" s="330">
        <v>233</v>
      </c>
      <c r="Z948" s="327" t="s">
        <v>515</v>
      </c>
      <c r="AA948" s="371">
        <v>276</v>
      </c>
      <c r="AB948" s="133" t="s">
        <v>515</v>
      </c>
      <c r="AC948" s="330">
        <v>248</v>
      </c>
      <c r="AD948" s="327" t="s">
        <v>515</v>
      </c>
      <c r="AE948" s="330">
        <v>312</v>
      </c>
      <c r="AF948" s="133" t="s">
        <v>515</v>
      </c>
      <c r="AG948" s="330">
        <v>486</v>
      </c>
      <c r="AH948" s="327" t="s">
        <v>515</v>
      </c>
      <c r="AI948" s="330">
        <v>1076</v>
      </c>
      <c r="AJ948" s="133" t="s">
        <v>515</v>
      </c>
      <c r="AK948" s="330">
        <v>874</v>
      </c>
      <c r="AL948" s="327" t="s">
        <v>515</v>
      </c>
      <c r="AM948" s="327">
        <f t="shared" si="23"/>
        <v>5988</v>
      </c>
    </row>
    <row r="949" spans="1:39" ht="18" customHeight="1" x14ac:dyDescent="0.3">
      <c r="A949" s="424">
        <f>A947+1</f>
        <v>656</v>
      </c>
      <c r="B949" s="422" t="s">
        <v>1348</v>
      </c>
      <c r="C949" s="11" t="s">
        <v>268</v>
      </c>
      <c r="D949" s="11" t="s">
        <v>1736</v>
      </c>
      <c r="E949" s="31" t="s">
        <v>144</v>
      </c>
      <c r="F949" s="23" t="s">
        <v>49</v>
      </c>
      <c r="G949" s="426" t="s">
        <v>1737</v>
      </c>
      <c r="H949" s="133">
        <v>82</v>
      </c>
      <c r="I949" s="158" t="s">
        <v>1738</v>
      </c>
      <c r="J949" s="133">
        <v>9</v>
      </c>
      <c r="K949" s="132" t="s">
        <v>218</v>
      </c>
      <c r="L949" s="132" t="s">
        <v>218</v>
      </c>
      <c r="M949" s="24">
        <v>0</v>
      </c>
      <c r="N949" s="330">
        <v>0</v>
      </c>
      <c r="O949" s="368">
        <v>0</v>
      </c>
      <c r="P949" s="327" t="s">
        <v>515</v>
      </c>
      <c r="Q949" s="330">
        <v>0</v>
      </c>
      <c r="R949" s="327" t="s">
        <v>515</v>
      </c>
      <c r="S949" s="330">
        <v>0</v>
      </c>
      <c r="T949" s="327" t="s">
        <v>515</v>
      </c>
      <c r="U949" s="330">
        <v>0</v>
      </c>
      <c r="V949" s="327" t="s">
        <v>515</v>
      </c>
      <c r="W949" s="330">
        <v>0</v>
      </c>
      <c r="X949" s="133" t="s">
        <v>515</v>
      </c>
      <c r="Y949" s="330">
        <v>0</v>
      </c>
      <c r="Z949" s="327" t="s">
        <v>515</v>
      </c>
      <c r="AA949" s="371">
        <v>0</v>
      </c>
      <c r="AB949" s="133" t="s">
        <v>515</v>
      </c>
      <c r="AC949" s="330">
        <v>0</v>
      </c>
      <c r="AD949" s="327" t="s">
        <v>515</v>
      </c>
      <c r="AE949" s="330">
        <v>0</v>
      </c>
      <c r="AF949" s="133" t="s">
        <v>515</v>
      </c>
      <c r="AG949" s="330">
        <v>0</v>
      </c>
      <c r="AH949" s="327" t="s">
        <v>515</v>
      </c>
      <c r="AI949" s="330">
        <v>0</v>
      </c>
      <c r="AJ949" s="133" t="s">
        <v>515</v>
      </c>
      <c r="AK949" s="330">
        <v>0</v>
      </c>
      <c r="AL949" s="327" t="s">
        <v>515</v>
      </c>
      <c r="AM949" s="327">
        <f t="shared" si="23"/>
        <v>0</v>
      </c>
    </row>
    <row r="950" spans="1:39" ht="18" customHeight="1" x14ac:dyDescent="0.3">
      <c r="A950" s="425"/>
      <c r="B950" s="423"/>
      <c r="C950" s="11" t="s">
        <v>268</v>
      </c>
      <c r="D950" s="11" t="s">
        <v>1736</v>
      </c>
      <c r="E950" s="31" t="s">
        <v>48</v>
      </c>
      <c r="F950" s="23" t="s">
        <v>49</v>
      </c>
      <c r="G950" s="427"/>
      <c r="H950" s="133"/>
      <c r="I950" s="158" t="s">
        <v>1738</v>
      </c>
      <c r="J950" s="133"/>
      <c r="K950" s="132" t="s">
        <v>218</v>
      </c>
      <c r="L950" s="132" t="s">
        <v>218</v>
      </c>
      <c r="M950" s="24">
        <v>19367</v>
      </c>
      <c r="N950" s="330">
        <v>16700</v>
      </c>
      <c r="O950" s="368">
        <v>2134</v>
      </c>
      <c r="P950" s="327" t="s">
        <v>515</v>
      </c>
      <c r="Q950" s="330">
        <v>1475</v>
      </c>
      <c r="R950" s="327" t="s">
        <v>515</v>
      </c>
      <c r="S950" s="330">
        <v>1475</v>
      </c>
      <c r="T950" s="327" t="s">
        <v>515</v>
      </c>
      <c r="U950" s="330">
        <v>841</v>
      </c>
      <c r="V950" s="327" t="s">
        <v>515</v>
      </c>
      <c r="W950" s="330">
        <v>1003</v>
      </c>
      <c r="X950" s="133" t="s">
        <v>515</v>
      </c>
      <c r="Y950" s="330">
        <v>657</v>
      </c>
      <c r="Z950" s="327" t="s">
        <v>515</v>
      </c>
      <c r="AA950" s="371">
        <v>525</v>
      </c>
      <c r="AB950" s="133" t="s">
        <v>515</v>
      </c>
      <c r="AC950" s="330">
        <v>851</v>
      </c>
      <c r="AD950" s="327" t="s">
        <v>515</v>
      </c>
      <c r="AE950" s="330">
        <v>1288</v>
      </c>
      <c r="AF950" s="133" t="s">
        <v>515</v>
      </c>
      <c r="AG950" s="330">
        <v>1263</v>
      </c>
      <c r="AH950" s="327" t="s">
        <v>515</v>
      </c>
      <c r="AI950" s="330">
        <v>2177</v>
      </c>
      <c r="AJ950" s="133" t="s">
        <v>515</v>
      </c>
      <c r="AK950" s="330">
        <v>1819</v>
      </c>
      <c r="AL950" s="327" t="s">
        <v>515</v>
      </c>
      <c r="AM950" s="327">
        <f t="shared" si="23"/>
        <v>15508</v>
      </c>
    </row>
    <row r="951" spans="1:39" ht="18" customHeight="1" x14ac:dyDescent="0.3">
      <c r="A951" s="424">
        <f>A949+1</f>
        <v>657</v>
      </c>
      <c r="B951" s="422" t="s">
        <v>1349</v>
      </c>
      <c r="C951" s="11" t="s">
        <v>268</v>
      </c>
      <c r="D951" s="11" t="s">
        <v>1736</v>
      </c>
      <c r="E951" s="31" t="s">
        <v>144</v>
      </c>
      <c r="F951" s="23" t="s">
        <v>49</v>
      </c>
      <c r="G951" s="426" t="s">
        <v>1737</v>
      </c>
      <c r="H951" s="133">
        <v>85</v>
      </c>
      <c r="I951" s="158" t="s">
        <v>1738</v>
      </c>
      <c r="J951" s="133">
        <v>9</v>
      </c>
      <c r="K951" s="132" t="s">
        <v>218</v>
      </c>
      <c r="L951" s="132" t="s">
        <v>218</v>
      </c>
      <c r="M951" s="24">
        <v>0</v>
      </c>
      <c r="N951" s="330">
        <v>0</v>
      </c>
      <c r="O951" s="368">
        <v>0</v>
      </c>
      <c r="P951" s="327" t="s">
        <v>515</v>
      </c>
      <c r="Q951" s="330">
        <v>0</v>
      </c>
      <c r="R951" s="327" t="s">
        <v>515</v>
      </c>
      <c r="S951" s="330">
        <v>0</v>
      </c>
      <c r="T951" s="327" t="s">
        <v>515</v>
      </c>
      <c r="U951" s="330">
        <v>0</v>
      </c>
      <c r="V951" s="327" t="s">
        <v>515</v>
      </c>
      <c r="W951" s="330">
        <v>0</v>
      </c>
      <c r="X951" s="133" t="s">
        <v>515</v>
      </c>
      <c r="Y951" s="330">
        <v>0</v>
      </c>
      <c r="Z951" s="327" t="s">
        <v>515</v>
      </c>
      <c r="AA951" s="371">
        <v>0</v>
      </c>
      <c r="AB951" s="133" t="s">
        <v>515</v>
      </c>
      <c r="AC951" s="330">
        <v>0</v>
      </c>
      <c r="AD951" s="327" t="s">
        <v>515</v>
      </c>
      <c r="AE951" s="330">
        <v>0</v>
      </c>
      <c r="AF951" s="133" t="s">
        <v>515</v>
      </c>
      <c r="AG951" s="330">
        <v>0</v>
      </c>
      <c r="AH951" s="327" t="s">
        <v>515</v>
      </c>
      <c r="AI951" s="330">
        <v>0</v>
      </c>
      <c r="AJ951" s="133" t="s">
        <v>515</v>
      </c>
      <c r="AK951" s="330">
        <v>0</v>
      </c>
      <c r="AL951" s="327" t="s">
        <v>515</v>
      </c>
      <c r="AM951" s="327">
        <f t="shared" si="23"/>
        <v>0</v>
      </c>
    </row>
    <row r="952" spans="1:39" ht="18" customHeight="1" x14ac:dyDescent="0.3">
      <c r="A952" s="425"/>
      <c r="B952" s="423"/>
      <c r="C952" s="11" t="s">
        <v>268</v>
      </c>
      <c r="D952" s="11" t="s">
        <v>1736</v>
      </c>
      <c r="E952" s="31" t="s">
        <v>48</v>
      </c>
      <c r="F952" s="23" t="s">
        <v>49</v>
      </c>
      <c r="G952" s="427"/>
      <c r="H952" s="133"/>
      <c r="I952" s="158" t="s">
        <v>1738</v>
      </c>
      <c r="J952" s="133"/>
      <c r="K952" s="132" t="s">
        <v>218</v>
      </c>
      <c r="L952" s="132" t="s">
        <v>218</v>
      </c>
      <c r="M952" s="24">
        <v>13942</v>
      </c>
      <c r="N952" s="330">
        <v>14319</v>
      </c>
      <c r="O952" s="368">
        <v>2066</v>
      </c>
      <c r="P952" s="327" t="s">
        <v>515</v>
      </c>
      <c r="Q952" s="330">
        <v>1181</v>
      </c>
      <c r="R952" s="327" t="s">
        <v>515</v>
      </c>
      <c r="S952" s="330">
        <v>1181</v>
      </c>
      <c r="T952" s="327" t="s">
        <v>515</v>
      </c>
      <c r="U952" s="330">
        <v>610</v>
      </c>
      <c r="V952" s="327" t="s">
        <v>515</v>
      </c>
      <c r="W952" s="330">
        <v>883</v>
      </c>
      <c r="X952" s="133" t="s">
        <v>515</v>
      </c>
      <c r="Y952" s="330">
        <v>568</v>
      </c>
      <c r="Z952" s="327" t="s">
        <v>515</v>
      </c>
      <c r="AA952" s="371">
        <v>441</v>
      </c>
      <c r="AB952" s="133" t="s">
        <v>515</v>
      </c>
      <c r="AC952" s="330">
        <v>581</v>
      </c>
      <c r="AD952" s="327" t="s">
        <v>515</v>
      </c>
      <c r="AE952" s="330">
        <v>1059</v>
      </c>
      <c r="AF952" s="133" t="s">
        <v>515</v>
      </c>
      <c r="AG952" s="330">
        <v>866</v>
      </c>
      <c r="AH952" s="327" t="s">
        <v>515</v>
      </c>
      <c r="AI952" s="330">
        <v>1738</v>
      </c>
      <c r="AJ952" s="133" t="s">
        <v>515</v>
      </c>
      <c r="AK952" s="330">
        <v>1552</v>
      </c>
      <c r="AL952" s="327" t="s">
        <v>515</v>
      </c>
      <c r="AM952" s="327">
        <f t="shared" si="23"/>
        <v>12726</v>
      </c>
    </row>
    <row r="953" spans="1:39" ht="18" customHeight="1" x14ac:dyDescent="0.3">
      <c r="A953" s="424">
        <f t="shared" ref="A953:A1015" si="24">A951+1</f>
        <v>658</v>
      </c>
      <c r="B953" s="422" t="s">
        <v>1350</v>
      </c>
      <c r="C953" s="11" t="s">
        <v>268</v>
      </c>
      <c r="D953" s="11" t="s">
        <v>1736</v>
      </c>
      <c r="E953" s="31" t="s">
        <v>144</v>
      </c>
      <c r="F953" s="23" t="s">
        <v>49</v>
      </c>
      <c r="G953" s="426" t="s">
        <v>1737</v>
      </c>
      <c r="H953" s="133">
        <v>84</v>
      </c>
      <c r="I953" s="158" t="s">
        <v>1738</v>
      </c>
      <c r="J953" s="133">
        <v>9</v>
      </c>
      <c r="K953" s="132" t="s">
        <v>218</v>
      </c>
      <c r="L953" s="132" t="s">
        <v>218</v>
      </c>
      <c r="M953" s="24">
        <v>0</v>
      </c>
      <c r="N953" s="330">
        <v>0</v>
      </c>
      <c r="O953" s="368">
        <v>0</v>
      </c>
      <c r="P953" s="327" t="s">
        <v>515</v>
      </c>
      <c r="Q953" s="330">
        <v>0</v>
      </c>
      <c r="R953" s="327" t="s">
        <v>515</v>
      </c>
      <c r="S953" s="330">
        <v>0</v>
      </c>
      <c r="T953" s="327" t="s">
        <v>515</v>
      </c>
      <c r="U953" s="330">
        <v>0</v>
      </c>
      <c r="V953" s="327" t="s">
        <v>515</v>
      </c>
      <c r="W953" s="330">
        <v>0</v>
      </c>
      <c r="X953" s="133" t="s">
        <v>515</v>
      </c>
      <c r="Y953" s="330">
        <v>0</v>
      </c>
      <c r="Z953" s="327" t="s">
        <v>515</v>
      </c>
      <c r="AA953" s="371">
        <v>0</v>
      </c>
      <c r="AB953" s="133" t="s">
        <v>515</v>
      </c>
      <c r="AC953" s="330">
        <v>0</v>
      </c>
      <c r="AD953" s="327" t="s">
        <v>515</v>
      </c>
      <c r="AE953" s="330">
        <v>0</v>
      </c>
      <c r="AF953" s="133" t="s">
        <v>515</v>
      </c>
      <c r="AG953" s="330">
        <v>0</v>
      </c>
      <c r="AH953" s="327" t="s">
        <v>515</v>
      </c>
      <c r="AI953" s="330">
        <v>0</v>
      </c>
      <c r="AJ953" s="133" t="s">
        <v>515</v>
      </c>
      <c r="AK953" s="330">
        <v>0</v>
      </c>
      <c r="AL953" s="327" t="s">
        <v>515</v>
      </c>
      <c r="AM953" s="327">
        <f t="shared" si="23"/>
        <v>0</v>
      </c>
    </row>
    <row r="954" spans="1:39" ht="18" customHeight="1" x14ac:dyDescent="0.3">
      <c r="A954" s="425"/>
      <c r="B954" s="423"/>
      <c r="C954" s="11" t="s">
        <v>268</v>
      </c>
      <c r="D954" s="11" t="s">
        <v>1736</v>
      </c>
      <c r="E954" s="31" t="s">
        <v>48</v>
      </c>
      <c r="F954" s="23" t="s">
        <v>49</v>
      </c>
      <c r="G954" s="427"/>
      <c r="H954" s="133"/>
      <c r="I954" s="158" t="s">
        <v>1738</v>
      </c>
      <c r="J954" s="133"/>
      <c r="K954" s="132" t="s">
        <v>218</v>
      </c>
      <c r="L954" s="132" t="s">
        <v>218</v>
      </c>
      <c r="M954" s="24">
        <v>17053</v>
      </c>
      <c r="N954" s="330">
        <v>20219</v>
      </c>
      <c r="O954" s="368">
        <v>2813</v>
      </c>
      <c r="P954" s="327" t="s">
        <v>515</v>
      </c>
      <c r="Q954" s="330">
        <v>1320</v>
      </c>
      <c r="R954" s="327" t="s">
        <v>515</v>
      </c>
      <c r="S954" s="330">
        <v>1320</v>
      </c>
      <c r="T954" s="327" t="s">
        <v>515</v>
      </c>
      <c r="U954" s="330">
        <v>1080</v>
      </c>
      <c r="V954" s="327" t="s">
        <v>515</v>
      </c>
      <c r="W954" s="330">
        <v>1245</v>
      </c>
      <c r="X954" s="133" t="s">
        <v>515</v>
      </c>
      <c r="Y954" s="330">
        <v>1094</v>
      </c>
      <c r="Z954" s="327" t="s">
        <v>515</v>
      </c>
      <c r="AA954" s="371">
        <v>846</v>
      </c>
      <c r="AB954" s="133" t="s">
        <v>515</v>
      </c>
      <c r="AC954" s="330">
        <v>1162</v>
      </c>
      <c r="AD954" s="327" t="s">
        <v>515</v>
      </c>
      <c r="AE954" s="330">
        <v>1120</v>
      </c>
      <c r="AF954" s="133" t="s">
        <v>515</v>
      </c>
      <c r="AG954" s="330">
        <v>2220</v>
      </c>
      <c r="AH954" s="327" t="s">
        <v>515</v>
      </c>
      <c r="AI954" s="330">
        <v>2031</v>
      </c>
      <c r="AJ954" s="133" t="s">
        <v>515</v>
      </c>
      <c r="AK954" s="330">
        <v>2300</v>
      </c>
      <c r="AL954" s="327" t="s">
        <v>515</v>
      </c>
      <c r="AM954" s="327">
        <f t="shared" si="23"/>
        <v>18551</v>
      </c>
    </row>
    <row r="955" spans="1:39" ht="18" customHeight="1" x14ac:dyDescent="0.3">
      <c r="A955" s="424">
        <f t="shared" si="24"/>
        <v>659</v>
      </c>
      <c r="B955" s="422" t="s">
        <v>1351</v>
      </c>
      <c r="C955" s="11" t="s">
        <v>268</v>
      </c>
      <c r="D955" s="11" t="s">
        <v>1736</v>
      </c>
      <c r="E955" s="31" t="s">
        <v>144</v>
      </c>
      <c r="F955" s="23" t="s">
        <v>49</v>
      </c>
      <c r="G955" s="426" t="s">
        <v>1737</v>
      </c>
      <c r="H955" s="133">
        <v>84</v>
      </c>
      <c r="I955" s="158" t="s">
        <v>1738</v>
      </c>
      <c r="J955" s="133">
        <v>9</v>
      </c>
      <c r="K955" s="132" t="s">
        <v>218</v>
      </c>
      <c r="L955" s="132" t="s">
        <v>218</v>
      </c>
      <c r="M955" s="24">
        <v>0</v>
      </c>
      <c r="N955" s="330">
        <v>0</v>
      </c>
      <c r="O955" s="368">
        <v>0</v>
      </c>
      <c r="P955" s="327" t="s">
        <v>515</v>
      </c>
      <c r="Q955" s="330">
        <v>0</v>
      </c>
      <c r="R955" s="327" t="s">
        <v>515</v>
      </c>
      <c r="S955" s="330">
        <v>0</v>
      </c>
      <c r="T955" s="327" t="s">
        <v>515</v>
      </c>
      <c r="U955" s="330">
        <v>0</v>
      </c>
      <c r="V955" s="327" t="s">
        <v>515</v>
      </c>
      <c r="W955" s="330">
        <v>0</v>
      </c>
      <c r="X955" s="133" t="s">
        <v>515</v>
      </c>
      <c r="Y955" s="330">
        <v>0</v>
      </c>
      <c r="Z955" s="327" t="s">
        <v>515</v>
      </c>
      <c r="AA955" s="371">
        <v>0</v>
      </c>
      <c r="AB955" s="133" t="s">
        <v>515</v>
      </c>
      <c r="AC955" s="330">
        <v>0</v>
      </c>
      <c r="AD955" s="327" t="s">
        <v>515</v>
      </c>
      <c r="AE955" s="330">
        <v>0</v>
      </c>
      <c r="AF955" s="133" t="s">
        <v>515</v>
      </c>
      <c r="AG955" s="330">
        <v>0</v>
      </c>
      <c r="AH955" s="327" t="s">
        <v>515</v>
      </c>
      <c r="AI955" s="330">
        <v>0</v>
      </c>
      <c r="AJ955" s="133" t="s">
        <v>515</v>
      </c>
      <c r="AK955" s="330">
        <v>0</v>
      </c>
      <c r="AL955" s="327" t="s">
        <v>515</v>
      </c>
      <c r="AM955" s="327">
        <f t="shared" si="23"/>
        <v>0</v>
      </c>
    </row>
    <row r="956" spans="1:39" ht="18" customHeight="1" x14ac:dyDescent="0.3">
      <c r="A956" s="425"/>
      <c r="B956" s="423"/>
      <c r="C956" s="11" t="s">
        <v>268</v>
      </c>
      <c r="D956" s="11" t="s">
        <v>1736</v>
      </c>
      <c r="E956" s="31" t="s">
        <v>48</v>
      </c>
      <c r="F956" s="23" t="s">
        <v>49</v>
      </c>
      <c r="G956" s="427"/>
      <c r="H956" s="133"/>
      <c r="I956" s="158" t="s">
        <v>1738</v>
      </c>
      <c r="J956" s="133"/>
      <c r="K956" s="132" t="s">
        <v>218</v>
      </c>
      <c r="L956" s="132" t="s">
        <v>218</v>
      </c>
      <c r="M956" s="24">
        <v>15762</v>
      </c>
      <c r="N956" s="330">
        <v>15959</v>
      </c>
      <c r="O956" s="368">
        <v>2238</v>
      </c>
      <c r="P956" s="327" t="s">
        <v>515</v>
      </c>
      <c r="Q956" s="330">
        <v>1173</v>
      </c>
      <c r="R956" s="327" t="s">
        <v>515</v>
      </c>
      <c r="S956" s="330">
        <v>1173</v>
      </c>
      <c r="T956" s="327" t="s">
        <v>515</v>
      </c>
      <c r="U956" s="330">
        <v>965</v>
      </c>
      <c r="V956" s="327" t="s">
        <v>515</v>
      </c>
      <c r="W956" s="330">
        <v>1006</v>
      </c>
      <c r="X956" s="133" t="s">
        <v>515</v>
      </c>
      <c r="Y956" s="330">
        <v>687</v>
      </c>
      <c r="Z956" s="327" t="s">
        <v>515</v>
      </c>
      <c r="AA956" s="371">
        <v>542</v>
      </c>
      <c r="AB956" s="133" t="s">
        <v>515</v>
      </c>
      <c r="AC956" s="330">
        <v>822</v>
      </c>
      <c r="AD956" s="327" t="s">
        <v>515</v>
      </c>
      <c r="AE956" s="330">
        <v>1283</v>
      </c>
      <c r="AF956" s="133" t="s">
        <v>515</v>
      </c>
      <c r="AG956" s="330">
        <v>924</v>
      </c>
      <c r="AH956" s="327" t="s">
        <v>515</v>
      </c>
      <c r="AI956" s="330">
        <v>1942</v>
      </c>
      <c r="AJ956" s="133" t="s">
        <v>515</v>
      </c>
      <c r="AK956" s="330">
        <v>1711</v>
      </c>
      <c r="AL956" s="327" t="s">
        <v>515</v>
      </c>
      <c r="AM956" s="327">
        <f t="shared" si="23"/>
        <v>14466</v>
      </c>
    </row>
    <row r="957" spans="1:39" ht="18" customHeight="1" x14ac:dyDescent="0.3">
      <c r="A957" s="424">
        <f t="shared" si="24"/>
        <v>660</v>
      </c>
      <c r="B957" s="422" t="s">
        <v>1352</v>
      </c>
      <c r="C957" s="11" t="s">
        <v>268</v>
      </c>
      <c r="D957" s="11" t="s">
        <v>1736</v>
      </c>
      <c r="E957" s="31" t="s">
        <v>144</v>
      </c>
      <c r="F957" s="23" t="s">
        <v>49</v>
      </c>
      <c r="G957" s="426" t="s">
        <v>1737</v>
      </c>
      <c r="H957" s="133">
        <v>84</v>
      </c>
      <c r="I957" s="158" t="s">
        <v>1738</v>
      </c>
      <c r="J957" s="133">
        <v>9</v>
      </c>
      <c r="K957" s="132" t="s">
        <v>218</v>
      </c>
      <c r="L957" s="132" t="s">
        <v>218</v>
      </c>
      <c r="M957" s="24">
        <v>0</v>
      </c>
      <c r="N957" s="330">
        <v>0</v>
      </c>
      <c r="O957" s="368">
        <v>0</v>
      </c>
      <c r="P957" s="327" t="s">
        <v>515</v>
      </c>
      <c r="Q957" s="330">
        <v>0</v>
      </c>
      <c r="R957" s="327" t="s">
        <v>515</v>
      </c>
      <c r="S957" s="330">
        <v>0</v>
      </c>
      <c r="T957" s="327" t="s">
        <v>515</v>
      </c>
      <c r="U957" s="330">
        <v>0</v>
      </c>
      <c r="V957" s="327" t="s">
        <v>515</v>
      </c>
      <c r="W957" s="330">
        <v>0</v>
      </c>
      <c r="X957" s="133" t="s">
        <v>515</v>
      </c>
      <c r="Y957" s="330">
        <v>0</v>
      </c>
      <c r="Z957" s="327" t="s">
        <v>515</v>
      </c>
      <c r="AA957" s="371">
        <v>0</v>
      </c>
      <c r="AB957" s="133" t="s">
        <v>515</v>
      </c>
      <c r="AC957" s="330">
        <v>0</v>
      </c>
      <c r="AD957" s="327" t="s">
        <v>515</v>
      </c>
      <c r="AE957" s="330">
        <v>0</v>
      </c>
      <c r="AF957" s="133" t="s">
        <v>515</v>
      </c>
      <c r="AG957" s="330">
        <v>0</v>
      </c>
      <c r="AH957" s="327" t="s">
        <v>515</v>
      </c>
      <c r="AI957" s="330">
        <v>0</v>
      </c>
      <c r="AJ957" s="133" t="s">
        <v>515</v>
      </c>
      <c r="AK957" s="330">
        <v>0</v>
      </c>
      <c r="AL957" s="327" t="s">
        <v>515</v>
      </c>
      <c r="AM957" s="327">
        <f t="shared" si="23"/>
        <v>0</v>
      </c>
    </row>
    <row r="958" spans="1:39" ht="18" customHeight="1" x14ac:dyDescent="0.3">
      <c r="A958" s="425"/>
      <c r="B958" s="423"/>
      <c r="C958" s="11" t="s">
        <v>268</v>
      </c>
      <c r="D958" s="11" t="s">
        <v>1736</v>
      </c>
      <c r="E958" s="31" t="s">
        <v>48</v>
      </c>
      <c r="F958" s="23" t="s">
        <v>49</v>
      </c>
      <c r="G958" s="427"/>
      <c r="H958" s="133"/>
      <c r="I958" s="158" t="s">
        <v>1738</v>
      </c>
      <c r="J958" s="133"/>
      <c r="K958" s="132" t="s">
        <v>218</v>
      </c>
      <c r="L958" s="132" t="s">
        <v>218</v>
      </c>
      <c r="M958" s="24">
        <v>14627</v>
      </c>
      <c r="N958" s="330">
        <v>15769</v>
      </c>
      <c r="O958" s="368">
        <v>1951</v>
      </c>
      <c r="P958" s="327" t="s">
        <v>515</v>
      </c>
      <c r="Q958" s="330">
        <v>1600</v>
      </c>
      <c r="R958" s="327" t="s">
        <v>515</v>
      </c>
      <c r="S958" s="330">
        <v>1600</v>
      </c>
      <c r="T958" s="327" t="s">
        <v>515</v>
      </c>
      <c r="U958" s="330">
        <v>1012</v>
      </c>
      <c r="V958" s="327" t="s">
        <v>515</v>
      </c>
      <c r="W958" s="330">
        <v>1058</v>
      </c>
      <c r="X958" s="133" t="s">
        <v>515</v>
      </c>
      <c r="Y958" s="330">
        <v>794</v>
      </c>
      <c r="Z958" s="327" t="s">
        <v>515</v>
      </c>
      <c r="AA958" s="371">
        <v>827</v>
      </c>
      <c r="AB958" s="133" t="s">
        <v>515</v>
      </c>
      <c r="AC958" s="330">
        <v>362</v>
      </c>
      <c r="AD958" s="327" t="s">
        <v>515</v>
      </c>
      <c r="AE958" s="330">
        <v>549</v>
      </c>
      <c r="AF958" s="133" t="s">
        <v>515</v>
      </c>
      <c r="AG958" s="330">
        <v>2459</v>
      </c>
      <c r="AH958" s="327" t="s">
        <v>515</v>
      </c>
      <c r="AI958" s="330">
        <v>1480</v>
      </c>
      <c r="AJ958" s="133" t="s">
        <v>515</v>
      </c>
      <c r="AK958" s="330">
        <v>1621</v>
      </c>
      <c r="AL958" s="327" t="s">
        <v>515</v>
      </c>
      <c r="AM958" s="327">
        <f t="shared" si="23"/>
        <v>15313</v>
      </c>
    </row>
    <row r="959" spans="1:39" ht="18" customHeight="1" x14ac:dyDescent="0.3">
      <c r="A959" s="424">
        <f t="shared" si="24"/>
        <v>661</v>
      </c>
      <c r="B959" s="422" t="s">
        <v>1504</v>
      </c>
      <c r="C959" s="11" t="s">
        <v>268</v>
      </c>
      <c r="D959" s="11" t="s">
        <v>1736</v>
      </c>
      <c r="E959" s="31" t="s">
        <v>144</v>
      </c>
      <c r="F959" s="23" t="s">
        <v>49</v>
      </c>
      <c r="G959" s="426" t="s">
        <v>1737</v>
      </c>
      <c r="H959" s="133">
        <v>45</v>
      </c>
      <c r="I959" s="158" t="s">
        <v>1738</v>
      </c>
      <c r="J959" s="133">
        <v>2</v>
      </c>
      <c r="K959" s="132" t="s">
        <v>218</v>
      </c>
      <c r="L959" s="132" t="s">
        <v>218</v>
      </c>
      <c r="M959" s="24">
        <v>906</v>
      </c>
      <c r="N959" s="330">
        <v>1654</v>
      </c>
      <c r="O959" s="368">
        <v>138</v>
      </c>
      <c r="P959" s="327" t="s">
        <v>515</v>
      </c>
      <c r="Q959" s="330">
        <v>128</v>
      </c>
      <c r="R959" s="327" t="s">
        <v>515</v>
      </c>
      <c r="S959" s="330">
        <v>138</v>
      </c>
      <c r="T959" s="327" t="s">
        <v>515</v>
      </c>
      <c r="U959" s="330">
        <v>155</v>
      </c>
      <c r="V959" s="327" t="s">
        <v>515</v>
      </c>
      <c r="W959" s="330">
        <v>143</v>
      </c>
      <c r="X959" s="133" t="s">
        <v>515</v>
      </c>
      <c r="Y959" s="330">
        <v>145</v>
      </c>
      <c r="Z959" s="327" t="s">
        <v>515</v>
      </c>
      <c r="AA959" s="371">
        <v>114</v>
      </c>
      <c r="AB959" s="133" t="s">
        <v>515</v>
      </c>
      <c r="AC959" s="330">
        <v>131</v>
      </c>
      <c r="AD959" s="327" t="s">
        <v>515</v>
      </c>
      <c r="AE959" s="330">
        <v>147</v>
      </c>
      <c r="AF959" s="133" t="s">
        <v>515</v>
      </c>
      <c r="AG959" s="330">
        <v>133</v>
      </c>
      <c r="AH959" s="327" t="s">
        <v>515</v>
      </c>
      <c r="AI959" s="330">
        <v>141</v>
      </c>
      <c r="AJ959" s="133" t="s">
        <v>515</v>
      </c>
      <c r="AK959" s="330">
        <v>141</v>
      </c>
      <c r="AL959" s="327" t="s">
        <v>515</v>
      </c>
      <c r="AM959" s="327">
        <f t="shared" si="23"/>
        <v>1654</v>
      </c>
    </row>
    <row r="960" spans="1:39" ht="18" customHeight="1" x14ac:dyDescent="0.3">
      <c r="A960" s="425"/>
      <c r="B960" s="423"/>
      <c r="C960" s="11" t="s">
        <v>268</v>
      </c>
      <c r="D960" s="11" t="s">
        <v>1736</v>
      </c>
      <c r="E960" s="31" t="s">
        <v>48</v>
      </c>
      <c r="F960" s="23" t="s">
        <v>49</v>
      </c>
      <c r="G960" s="427"/>
      <c r="H960" s="133"/>
      <c r="I960" s="158" t="s">
        <v>1738</v>
      </c>
      <c r="J960" s="133"/>
      <c r="K960" s="132" t="s">
        <v>218</v>
      </c>
      <c r="L960" s="132" t="s">
        <v>218</v>
      </c>
      <c r="M960" s="24">
        <v>6293</v>
      </c>
      <c r="N960" s="330">
        <v>9511</v>
      </c>
      <c r="O960" s="368">
        <v>788</v>
      </c>
      <c r="P960" s="327" t="s">
        <v>515</v>
      </c>
      <c r="Q960" s="330">
        <v>985</v>
      </c>
      <c r="R960" s="327" t="s">
        <v>515</v>
      </c>
      <c r="S960" s="330">
        <v>975</v>
      </c>
      <c r="T960" s="327" t="s">
        <v>515</v>
      </c>
      <c r="U960" s="330">
        <v>655</v>
      </c>
      <c r="V960" s="327" t="s">
        <v>515</v>
      </c>
      <c r="W960" s="330">
        <v>532</v>
      </c>
      <c r="X960" s="133" t="s">
        <v>515</v>
      </c>
      <c r="Y960" s="330">
        <v>439</v>
      </c>
      <c r="Z960" s="327" t="s">
        <v>515</v>
      </c>
      <c r="AA960" s="371">
        <v>494</v>
      </c>
      <c r="AB960" s="133" t="s">
        <v>515</v>
      </c>
      <c r="AC960" s="330">
        <v>702</v>
      </c>
      <c r="AD960" s="327" t="s">
        <v>515</v>
      </c>
      <c r="AE960" s="330">
        <v>994</v>
      </c>
      <c r="AF960" s="133" t="s">
        <v>515</v>
      </c>
      <c r="AG960" s="330">
        <v>869</v>
      </c>
      <c r="AH960" s="327" t="s">
        <v>515</v>
      </c>
      <c r="AI960" s="330">
        <v>1034</v>
      </c>
      <c r="AJ960" s="133" t="s">
        <v>515</v>
      </c>
      <c r="AK960" s="330">
        <v>1178</v>
      </c>
      <c r="AL960" s="327" t="s">
        <v>515</v>
      </c>
      <c r="AM960" s="327">
        <f t="shared" si="23"/>
        <v>9645</v>
      </c>
    </row>
    <row r="961" spans="1:39" ht="18" customHeight="1" x14ac:dyDescent="0.3">
      <c r="A961" s="424">
        <f t="shared" si="24"/>
        <v>662</v>
      </c>
      <c r="B961" s="422" t="s">
        <v>1505</v>
      </c>
      <c r="C961" s="11" t="s">
        <v>268</v>
      </c>
      <c r="D961" s="11" t="s">
        <v>1736</v>
      </c>
      <c r="E961" s="31" t="s">
        <v>144</v>
      </c>
      <c r="F961" s="23" t="s">
        <v>49</v>
      </c>
      <c r="G961" s="426" t="s">
        <v>1737</v>
      </c>
      <c r="H961" s="133">
        <v>162</v>
      </c>
      <c r="I961" s="158" t="s">
        <v>1738</v>
      </c>
      <c r="J961" s="133">
        <v>0</v>
      </c>
      <c r="K961" s="132" t="s">
        <v>218</v>
      </c>
      <c r="L961" s="132" t="s">
        <v>218</v>
      </c>
      <c r="M961" s="24">
        <v>0</v>
      </c>
      <c r="N961" s="330">
        <v>0</v>
      </c>
      <c r="O961" s="368">
        <v>0</v>
      </c>
      <c r="P961" s="327" t="s">
        <v>515</v>
      </c>
      <c r="Q961" s="330">
        <v>0</v>
      </c>
      <c r="R961" s="327" t="s">
        <v>515</v>
      </c>
      <c r="S961" s="330">
        <v>0</v>
      </c>
      <c r="T961" s="327" t="s">
        <v>515</v>
      </c>
      <c r="U961" s="330">
        <v>0</v>
      </c>
      <c r="V961" s="327" t="s">
        <v>515</v>
      </c>
      <c r="W961" s="330">
        <v>0</v>
      </c>
      <c r="X961" s="133" t="s">
        <v>515</v>
      </c>
      <c r="Y961" s="330">
        <v>0</v>
      </c>
      <c r="Z961" s="327" t="s">
        <v>515</v>
      </c>
      <c r="AA961" s="371">
        <v>0</v>
      </c>
      <c r="AB961" s="133" t="s">
        <v>515</v>
      </c>
      <c r="AC961" s="330">
        <v>0</v>
      </c>
      <c r="AD961" s="327" t="s">
        <v>515</v>
      </c>
      <c r="AE961" s="330">
        <v>0</v>
      </c>
      <c r="AF961" s="133" t="s">
        <v>515</v>
      </c>
      <c r="AG961" s="330">
        <v>0</v>
      </c>
      <c r="AH961" s="327" t="s">
        <v>515</v>
      </c>
      <c r="AI961" s="330">
        <v>0</v>
      </c>
      <c r="AJ961" s="133" t="s">
        <v>515</v>
      </c>
      <c r="AK961" s="330">
        <v>0</v>
      </c>
      <c r="AL961" s="327" t="s">
        <v>515</v>
      </c>
      <c r="AM961" s="327">
        <f t="shared" si="23"/>
        <v>0</v>
      </c>
    </row>
    <row r="962" spans="1:39" ht="18" customHeight="1" x14ac:dyDescent="0.3">
      <c r="A962" s="425"/>
      <c r="B962" s="423"/>
      <c r="C962" s="11" t="s">
        <v>268</v>
      </c>
      <c r="D962" s="11" t="s">
        <v>1736</v>
      </c>
      <c r="E962" s="31" t="s">
        <v>48</v>
      </c>
      <c r="F962" s="23" t="s">
        <v>49</v>
      </c>
      <c r="G962" s="427"/>
      <c r="H962" s="133"/>
      <c r="I962" s="158" t="s">
        <v>1738</v>
      </c>
      <c r="J962" s="133"/>
      <c r="K962" s="132" t="s">
        <v>218</v>
      </c>
      <c r="L962" s="132" t="s">
        <v>218</v>
      </c>
      <c r="M962" s="24">
        <v>2876</v>
      </c>
      <c r="N962" s="330">
        <v>3547</v>
      </c>
      <c r="O962" s="368">
        <v>332</v>
      </c>
      <c r="P962" s="327" t="s">
        <v>515</v>
      </c>
      <c r="Q962" s="330">
        <v>398</v>
      </c>
      <c r="R962" s="327" t="s">
        <v>515</v>
      </c>
      <c r="S962" s="330">
        <v>398</v>
      </c>
      <c r="T962" s="327" t="s">
        <v>515</v>
      </c>
      <c r="U962" s="330">
        <v>226</v>
      </c>
      <c r="V962" s="327" t="s">
        <v>515</v>
      </c>
      <c r="W962" s="330">
        <v>343</v>
      </c>
      <c r="X962" s="133" t="s">
        <v>515</v>
      </c>
      <c r="Y962" s="330">
        <v>145</v>
      </c>
      <c r="Z962" s="327" t="s">
        <v>515</v>
      </c>
      <c r="AA962" s="371">
        <v>161</v>
      </c>
      <c r="AB962" s="133" t="s">
        <v>515</v>
      </c>
      <c r="AC962" s="330">
        <v>145</v>
      </c>
      <c r="AD962" s="327" t="s">
        <v>515</v>
      </c>
      <c r="AE962" s="330">
        <v>199</v>
      </c>
      <c r="AF962" s="133" t="s">
        <v>515</v>
      </c>
      <c r="AG962" s="330">
        <v>249</v>
      </c>
      <c r="AH962" s="327" t="s">
        <v>515</v>
      </c>
      <c r="AI962" s="330">
        <v>445</v>
      </c>
      <c r="AJ962" s="133" t="s">
        <v>515</v>
      </c>
      <c r="AK962" s="330">
        <v>378</v>
      </c>
      <c r="AL962" s="327" t="s">
        <v>515</v>
      </c>
      <c r="AM962" s="327">
        <f t="shared" si="23"/>
        <v>3419</v>
      </c>
    </row>
    <row r="963" spans="1:39" ht="18" customHeight="1" x14ac:dyDescent="0.3">
      <c r="A963" s="424">
        <f t="shared" si="24"/>
        <v>663</v>
      </c>
      <c r="B963" s="422" t="s">
        <v>1506</v>
      </c>
      <c r="C963" s="11" t="s">
        <v>268</v>
      </c>
      <c r="D963" s="11" t="s">
        <v>1736</v>
      </c>
      <c r="E963" s="31" t="s">
        <v>144</v>
      </c>
      <c r="F963" s="23" t="s">
        <v>49</v>
      </c>
      <c r="G963" s="426" t="s">
        <v>1737</v>
      </c>
      <c r="H963" s="133">
        <v>86</v>
      </c>
      <c r="I963" s="158" t="s">
        <v>1738</v>
      </c>
      <c r="J963" s="133">
        <v>0</v>
      </c>
      <c r="K963" s="132" t="s">
        <v>218</v>
      </c>
      <c r="L963" s="132" t="s">
        <v>218</v>
      </c>
      <c r="M963" s="24">
        <v>0</v>
      </c>
      <c r="N963" s="330">
        <v>0</v>
      </c>
      <c r="O963" s="368">
        <v>0</v>
      </c>
      <c r="P963" s="327" t="s">
        <v>515</v>
      </c>
      <c r="Q963" s="330">
        <v>0</v>
      </c>
      <c r="R963" s="327" t="s">
        <v>515</v>
      </c>
      <c r="S963" s="330">
        <v>0</v>
      </c>
      <c r="T963" s="327" t="s">
        <v>515</v>
      </c>
      <c r="U963" s="330">
        <v>0</v>
      </c>
      <c r="V963" s="327" t="s">
        <v>515</v>
      </c>
      <c r="W963" s="330">
        <v>0</v>
      </c>
      <c r="X963" s="133" t="s">
        <v>515</v>
      </c>
      <c r="Y963" s="330">
        <v>0</v>
      </c>
      <c r="Z963" s="327" t="s">
        <v>515</v>
      </c>
      <c r="AA963" s="371">
        <v>0</v>
      </c>
      <c r="AB963" s="133" t="s">
        <v>515</v>
      </c>
      <c r="AC963" s="330">
        <v>0</v>
      </c>
      <c r="AD963" s="327" t="s">
        <v>515</v>
      </c>
      <c r="AE963" s="330">
        <v>0</v>
      </c>
      <c r="AF963" s="133" t="s">
        <v>515</v>
      </c>
      <c r="AG963" s="330">
        <v>0</v>
      </c>
      <c r="AH963" s="327" t="s">
        <v>515</v>
      </c>
      <c r="AI963" s="330">
        <v>0</v>
      </c>
      <c r="AJ963" s="133" t="s">
        <v>515</v>
      </c>
      <c r="AK963" s="330">
        <v>0</v>
      </c>
      <c r="AL963" s="327" t="s">
        <v>515</v>
      </c>
      <c r="AM963" s="327">
        <f t="shared" si="23"/>
        <v>0</v>
      </c>
    </row>
    <row r="964" spans="1:39" ht="18" customHeight="1" x14ac:dyDescent="0.3">
      <c r="A964" s="425"/>
      <c r="B964" s="423"/>
      <c r="C964" s="11" t="s">
        <v>268</v>
      </c>
      <c r="D964" s="11" t="s">
        <v>1736</v>
      </c>
      <c r="E964" s="31" t="s">
        <v>48</v>
      </c>
      <c r="F964" s="23" t="s">
        <v>49</v>
      </c>
      <c r="G964" s="427"/>
      <c r="H964" s="133"/>
      <c r="I964" s="158" t="s">
        <v>1738</v>
      </c>
      <c r="J964" s="133"/>
      <c r="K964" s="132" t="s">
        <v>218</v>
      </c>
      <c r="L964" s="132" t="s">
        <v>218</v>
      </c>
      <c r="M964" s="24">
        <v>8315</v>
      </c>
      <c r="N964" s="330">
        <v>6649</v>
      </c>
      <c r="O964" s="368">
        <v>833</v>
      </c>
      <c r="P964" s="327" t="s">
        <v>515</v>
      </c>
      <c r="Q964" s="330">
        <v>365</v>
      </c>
      <c r="R964" s="327" t="s">
        <v>515</v>
      </c>
      <c r="S964" s="330">
        <v>365</v>
      </c>
      <c r="T964" s="327" t="s">
        <v>515</v>
      </c>
      <c r="U964" s="330">
        <v>283</v>
      </c>
      <c r="V964" s="327" t="s">
        <v>515</v>
      </c>
      <c r="W964" s="330">
        <v>371</v>
      </c>
      <c r="X964" s="133" t="s">
        <v>515</v>
      </c>
      <c r="Y964" s="330">
        <v>342</v>
      </c>
      <c r="Z964" s="327" t="s">
        <v>515</v>
      </c>
      <c r="AA964" s="371">
        <v>312</v>
      </c>
      <c r="AB964" s="133" t="s">
        <v>515</v>
      </c>
      <c r="AC964" s="330">
        <v>296</v>
      </c>
      <c r="AD964" s="327" t="s">
        <v>515</v>
      </c>
      <c r="AE964" s="330">
        <v>443</v>
      </c>
      <c r="AF964" s="133" t="s">
        <v>515</v>
      </c>
      <c r="AG964" s="330">
        <v>545</v>
      </c>
      <c r="AH964" s="327" t="s">
        <v>515</v>
      </c>
      <c r="AI964" s="330">
        <v>598</v>
      </c>
      <c r="AJ964" s="133" t="s">
        <v>515</v>
      </c>
      <c r="AK964" s="330">
        <v>697</v>
      </c>
      <c r="AL964" s="327" t="s">
        <v>515</v>
      </c>
      <c r="AM964" s="327">
        <f t="shared" si="23"/>
        <v>5450</v>
      </c>
    </row>
    <row r="965" spans="1:39" ht="18" customHeight="1" x14ac:dyDescent="0.3">
      <c r="A965" s="424">
        <f t="shared" si="24"/>
        <v>664</v>
      </c>
      <c r="B965" s="422" t="s">
        <v>1507</v>
      </c>
      <c r="C965" s="11" t="s">
        <v>268</v>
      </c>
      <c r="D965" s="11" t="s">
        <v>1736</v>
      </c>
      <c r="E965" s="31" t="s">
        <v>144</v>
      </c>
      <c r="F965" s="23" t="s">
        <v>49</v>
      </c>
      <c r="G965" s="426" t="s">
        <v>1737</v>
      </c>
      <c r="H965" s="133">
        <v>217</v>
      </c>
      <c r="I965" s="158" t="s">
        <v>1738</v>
      </c>
      <c r="J965" s="133">
        <v>7</v>
      </c>
      <c r="K965" s="132" t="s">
        <v>218</v>
      </c>
      <c r="L965" s="132" t="s">
        <v>218</v>
      </c>
      <c r="M965" s="24">
        <v>29204</v>
      </c>
      <c r="N965" s="330">
        <v>23397</v>
      </c>
      <c r="O965" s="368">
        <v>1980</v>
      </c>
      <c r="P965" s="327" t="s">
        <v>515</v>
      </c>
      <c r="Q965" s="330">
        <v>2180</v>
      </c>
      <c r="R965" s="327" t="s">
        <v>515</v>
      </c>
      <c r="S965" s="330">
        <v>1740</v>
      </c>
      <c r="T965" s="327" t="s">
        <v>515</v>
      </c>
      <c r="U965" s="330">
        <v>1967</v>
      </c>
      <c r="V965" s="327" t="s">
        <v>515</v>
      </c>
      <c r="W965" s="330">
        <v>2980</v>
      </c>
      <c r="X965" s="133" t="s">
        <v>515</v>
      </c>
      <c r="Y965" s="330">
        <v>1660</v>
      </c>
      <c r="Z965" s="327" t="s">
        <v>515</v>
      </c>
      <c r="AA965" s="371">
        <v>1970</v>
      </c>
      <c r="AB965" s="133" t="s">
        <v>515</v>
      </c>
      <c r="AC965" s="330">
        <v>1600</v>
      </c>
      <c r="AD965" s="327" t="s">
        <v>515</v>
      </c>
      <c r="AE965" s="330">
        <v>1720</v>
      </c>
      <c r="AF965" s="133" t="s">
        <v>515</v>
      </c>
      <c r="AG965" s="330">
        <v>2110</v>
      </c>
      <c r="AH965" s="327" t="s">
        <v>515</v>
      </c>
      <c r="AI965" s="330">
        <v>1780</v>
      </c>
      <c r="AJ965" s="133" t="s">
        <v>515</v>
      </c>
      <c r="AK965" s="330">
        <v>1710</v>
      </c>
      <c r="AL965" s="327" t="s">
        <v>515</v>
      </c>
      <c r="AM965" s="327">
        <f t="shared" si="23"/>
        <v>23397</v>
      </c>
    </row>
    <row r="966" spans="1:39" ht="18" customHeight="1" x14ac:dyDescent="0.3">
      <c r="A966" s="425"/>
      <c r="B966" s="423"/>
      <c r="C966" s="11" t="s">
        <v>268</v>
      </c>
      <c r="D966" s="11" t="s">
        <v>1736</v>
      </c>
      <c r="E966" s="31" t="s">
        <v>48</v>
      </c>
      <c r="F966" s="23" t="s">
        <v>49</v>
      </c>
      <c r="G966" s="427"/>
      <c r="H966" s="133"/>
      <c r="I966" s="158" t="s">
        <v>1738</v>
      </c>
      <c r="J966" s="133"/>
      <c r="K966" s="132" t="s">
        <v>218</v>
      </c>
      <c r="L966" s="132" t="s">
        <v>218</v>
      </c>
      <c r="M966" s="24">
        <v>8705</v>
      </c>
      <c r="N966" s="330">
        <v>18896</v>
      </c>
      <c r="O966" s="368">
        <v>1971</v>
      </c>
      <c r="P966" s="327" t="s">
        <v>515</v>
      </c>
      <c r="Q966" s="330">
        <v>1807</v>
      </c>
      <c r="R966" s="327" t="s">
        <v>515</v>
      </c>
      <c r="S966" s="330">
        <v>2247</v>
      </c>
      <c r="T966" s="327" t="s">
        <v>515</v>
      </c>
      <c r="U966" s="330">
        <v>1272</v>
      </c>
      <c r="V966" s="327" t="s">
        <v>515</v>
      </c>
      <c r="W966" s="330">
        <v>1126</v>
      </c>
      <c r="X966" s="133" t="s">
        <v>515</v>
      </c>
      <c r="Y966" s="330">
        <v>989</v>
      </c>
      <c r="Z966" s="327" t="s">
        <v>515</v>
      </c>
      <c r="AA966" s="371">
        <v>1442</v>
      </c>
      <c r="AB966" s="133" t="s">
        <v>515</v>
      </c>
      <c r="AC966" s="330">
        <v>1260</v>
      </c>
      <c r="AD966" s="327" t="s">
        <v>515</v>
      </c>
      <c r="AE966" s="330">
        <v>1502</v>
      </c>
      <c r="AF966" s="133" t="s">
        <v>515</v>
      </c>
      <c r="AG966" s="330">
        <v>1889</v>
      </c>
      <c r="AH966" s="327" t="s">
        <v>515</v>
      </c>
      <c r="AI966" s="330">
        <v>1795</v>
      </c>
      <c r="AJ966" s="133" t="s">
        <v>515</v>
      </c>
      <c r="AK966" s="330">
        <v>1788</v>
      </c>
      <c r="AL966" s="327" t="s">
        <v>515</v>
      </c>
      <c r="AM966" s="327">
        <f t="shared" si="23"/>
        <v>19088</v>
      </c>
    </row>
    <row r="967" spans="1:39" ht="18" customHeight="1" x14ac:dyDescent="0.3">
      <c r="A967" s="424">
        <f t="shared" si="24"/>
        <v>665</v>
      </c>
      <c r="B967" s="422" t="s">
        <v>1508</v>
      </c>
      <c r="C967" s="11" t="s">
        <v>268</v>
      </c>
      <c r="D967" s="11" t="s">
        <v>1736</v>
      </c>
      <c r="E967" s="31" t="s">
        <v>144</v>
      </c>
      <c r="F967" s="23" t="s">
        <v>49</v>
      </c>
      <c r="G967" s="428" t="s">
        <v>336</v>
      </c>
      <c r="H967" s="133">
        <v>374</v>
      </c>
      <c r="I967" s="158" t="s">
        <v>1738</v>
      </c>
      <c r="J967" s="133">
        <v>13</v>
      </c>
      <c r="K967" s="132" t="s">
        <v>218</v>
      </c>
      <c r="L967" s="132" t="s">
        <v>218</v>
      </c>
      <c r="M967" s="24">
        <v>35740</v>
      </c>
      <c r="N967" s="330">
        <v>34220</v>
      </c>
      <c r="O967" s="368">
        <v>2760</v>
      </c>
      <c r="P967" s="327" t="s">
        <v>515</v>
      </c>
      <c r="Q967" s="330">
        <v>3200</v>
      </c>
      <c r="R967" s="327" t="s">
        <v>515</v>
      </c>
      <c r="S967" s="330">
        <v>2800</v>
      </c>
      <c r="T967" s="327" t="s">
        <v>515</v>
      </c>
      <c r="U967" s="330">
        <v>3560</v>
      </c>
      <c r="V967" s="327" t="s">
        <v>515</v>
      </c>
      <c r="W967" s="330">
        <v>2660</v>
      </c>
      <c r="X967" s="133" t="s">
        <v>515</v>
      </c>
      <c r="Y967" s="330">
        <v>2420</v>
      </c>
      <c r="Z967" s="327" t="s">
        <v>515</v>
      </c>
      <c r="AA967" s="371">
        <v>2900</v>
      </c>
      <c r="AB967" s="133" t="s">
        <v>515</v>
      </c>
      <c r="AC967" s="330">
        <v>2580</v>
      </c>
      <c r="AD967" s="327" t="s">
        <v>515</v>
      </c>
      <c r="AE967" s="330">
        <v>2720</v>
      </c>
      <c r="AF967" s="133" t="s">
        <v>515</v>
      </c>
      <c r="AG967" s="330">
        <v>2780</v>
      </c>
      <c r="AH967" s="327" t="s">
        <v>515</v>
      </c>
      <c r="AI967" s="330">
        <v>3220</v>
      </c>
      <c r="AJ967" s="133" t="s">
        <v>515</v>
      </c>
      <c r="AK967" s="330">
        <v>2620</v>
      </c>
      <c r="AL967" s="327" t="s">
        <v>515</v>
      </c>
      <c r="AM967" s="327">
        <f t="shared" si="23"/>
        <v>34220</v>
      </c>
    </row>
    <row r="968" spans="1:39" ht="18" customHeight="1" x14ac:dyDescent="0.3">
      <c r="A968" s="425"/>
      <c r="B968" s="423"/>
      <c r="C968" s="11" t="s">
        <v>268</v>
      </c>
      <c r="D968" s="11" t="s">
        <v>1736</v>
      </c>
      <c r="E968" s="31" t="s">
        <v>48</v>
      </c>
      <c r="F968" s="23" t="s">
        <v>49</v>
      </c>
      <c r="G968" s="429"/>
      <c r="H968" s="133"/>
      <c r="I968" s="158" t="s">
        <v>1738</v>
      </c>
      <c r="J968" s="133"/>
      <c r="K968" s="132" t="s">
        <v>218</v>
      </c>
      <c r="L968" s="132" t="s">
        <v>218</v>
      </c>
      <c r="M968" s="24">
        <v>90767</v>
      </c>
      <c r="N968" s="330">
        <v>113574</v>
      </c>
      <c r="O968" s="368">
        <v>12439</v>
      </c>
      <c r="P968" s="327" t="s">
        <v>515</v>
      </c>
      <c r="Q968" s="330">
        <v>10088</v>
      </c>
      <c r="R968" s="327" t="s">
        <v>515</v>
      </c>
      <c r="S968" s="330">
        <v>10488</v>
      </c>
      <c r="T968" s="327" t="s">
        <v>515</v>
      </c>
      <c r="U968" s="330">
        <v>7241</v>
      </c>
      <c r="V968" s="327" t="s">
        <v>515</v>
      </c>
      <c r="W968" s="330">
        <v>8015</v>
      </c>
      <c r="X968" s="133" t="s">
        <v>515</v>
      </c>
      <c r="Y968" s="330">
        <v>6441</v>
      </c>
      <c r="Z968" s="327" t="s">
        <v>515</v>
      </c>
      <c r="AA968" s="371">
        <v>8008</v>
      </c>
      <c r="AB968" s="133" t="s">
        <v>515</v>
      </c>
      <c r="AC968" s="330">
        <v>7358</v>
      </c>
      <c r="AD968" s="327" t="s">
        <v>515</v>
      </c>
      <c r="AE968" s="330">
        <v>7814</v>
      </c>
      <c r="AF968" s="133" t="s">
        <v>515</v>
      </c>
      <c r="AG968" s="330">
        <v>8477</v>
      </c>
      <c r="AH968" s="327" t="s">
        <v>515</v>
      </c>
      <c r="AI968" s="330">
        <v>11487</v>
      </c>
      <c r="AJ968" s="133" t="s">
        <v>515</v>
      </c>
      <c r="AK968" s="330">
        <v>9553</v>
      </c>
      <c r="AL968" s="327" t="s">
        <v>515</v>
      </c>
      <c r="AM968" s="327">
        <f t="shared" si="23"/>
        <v>107409</v>
      </c>
    </row>
    <row r="969" spans="1:39" ht="18" customHeight="1" x14ac:dyDescent="0.3">
      <c r="A969" s="424">
        <f t="shared" si="24"/>
        <v>666</v>
      </c>
      <c r="B969" s="422" t="s">
        <v>1509</v>
      </c>
      <c r="C969" s="11" t="s">
        <v>268</v>
      </c>
      <c r="D969" s="11" t="s">
        <v>1736</v>
      </c>
      <c r="E969" s="31" t="s">
        <v>144</v>
      </c>
      <c r="F969" s="23" t="s">
        <v>49</v>
      </c>
      <c r="G969" s="428" t="s">
        <v>336</v>
      </c>
      <c r="H969" s="133">
        <v>325</v>
      </c>
      <c r="I969" s="158" t="s">
        <v>1738</v>
      </c>
      <c r="J969" s="133">
        <v>4</v>
      </c>
      <c r="K969" s="132" t="s">
        <v>218</v>
      </c>
      <c r="L969" s="132" t="s">
        <v>218</v>
      </c>
      <c r="M969" s="24">
        <v>18976</v>
      </c>
      <c r="N969" s="330">
        <v>22223</v>
      </c>
      <c r="O969" s="368">
        <v>1732</v>
      </c>
      <c r="P969" s="327" t="s">
        <v>515</v>
      </c>
      <c r="Q969" s="330">
        <v>1917</v>
      </c>
      <c r="R969" s="327" t="s">
        <v>515</v>
      </c>
      <c r="S969" s="330">
        <v>1544</v>
      </c>
      <c r="T969" s="327" t="s">
        <v>515</v>
      </c>
      <c r="U969" s="330">
        <v>2271</v>
      </c>
      <c r="V969" s="327" t="s">
        <v>515</v>
      </c>
      <c r="W969" s="330">
        <v>2110</v>
      </c>
      <c r="X969" s="133" t="s">
        <v>515</v>
      </c>
      <c r="Y969" s="330">
        <v>1729</v>
      </c>
      <c r="Z969" s="327" t="s">
        <v>515</v>
      </c>
      <c r="AA969" s="371">
        <v>2131</v>
      </c>
      <c r="AB969" s="133" t="s">
        <v>515</v>
      </c>
      <c r="AC969" s="330">
        <v>1536</v>
      </c>
      <c r="AD969" s="327" t="s">
        <v>515</v>
      </c>
      <c r="AE969" s="330">
        <v>1753</v>
      </c>
      <c r="AF969" s="133" t="s">
        <v>515</v>
      </c>
      <c r="AG969" s="330">
        <v>1882</v>
      </c>
      <c r="AH969" s="327" t="s">
        <v>515</v>
      </c>
      <c r="AI969" s="330">
        <v>2090</v>
      </c>
      <c r="AJ969" s="133" t="s">
        <v>515</v>
      </c>
      <c r="AK969" s="330">
        <v>1528</v>
      </c>
      <c r="AL969" s="327" t="s">
        <v>515</v>
      </c>
      <c r="AM969" s="327">
        <f t="shared" si="23"/>
        <v>22223</v>
      </c>
    </row>
    <row r="970" spans="1:39" ht="18" customHeight="1" x14ac:dyDescent="0.3">
      <c r="A970" s="425"/>
      <c r="B970" s="423"/>
      <c r="C970" s="11" t="s">
        <v>268</v>
      </c>
      <c r="D970" s="11" t="s">
        <v>1736</v>
      </c>
      <c r="E970" s="31" t="s">
        <v>48</v>
      </c>
      <c r="F970" s="23" t="s">
        <v>49</v>
      </c>
      <c r="G970" s="429"/>
      <c r="H970" s="133"/>
      <c r="I970" s="158" t="s">
        <v>1738</v>
      </c>
      <c r="J970" s="133"/>
      <c r="K970" s="132" t="s">
        <v>218</v>
      </c>
      <c r="L970" s="132" t="s">
        <v>218</v>
      </c>
      <c r="M970" s="24">
        <v>32961</v>
      </c>
      <c r="N970" s="330">
        <v>33851</v>
      </c>
      <c r="O970" s="368">
        <v>3610</v>
      </c>
      <c r="P970" s="327" t="s">
        <v>515</v>
      </c>
      <c r="Q970" s="330">
        <v>2106</v>
      </c>
      <c r="R970" s="327" t="s">
        <v>515</v>
      </c>
      <c r="S970" s="330">
        <v>2479</v>
      </c>
      <c r="T970" s="327" t="s">
        <v>515</v>
      </c>
      <c r="U970" s="330">
        <v>1038</v>
      </c>
      <c r="V970" s="327" t="s">
        <v>515</v>
      </c>
      <c r="W970" s="330">
        <v>2372</v>
      </c>
      <c r="X970" s="133" t="s">
        <v>515</v>
      </c>
      <c r="Y970" s="330">
        <v>2080</v>
      </c>
      <c r="Z970" s="327" t="s">
        <v>515</v>
      </c>
      <c r="AA970" s="371">
        <v>2091</v>
      </c>
      <c r="AB970" s="133" t="s">
        <v>515</v>
      </c>
      <c r="AC970" s="330">
        <v>1587</v>
      </c>
      <c r="AD970" s="327" t="s">
        <v>515</v>
      </c>
      <c r="AE970" s="330">
        <v>1940</v>
      </c>
      <c r="AF970" s="133" t="s">
        <v>515</v>
      </c>
      <c r="AG970" s="330">
        <v>2574</v>
      </c>
      <c r="AH970" s="327" t="s">
        <v>515</v>
      </c>
      <c r="AI970" s="330">
        <v>3225</v>
      </c>
      <c r="AJ970" s="133" t="s">
        <v>515</v>
      </c>
      <c r="AK970" s="330">
        <v>2807</v>
      </c>
      <c r="AL970" s="327" t="s">
        <v>515</v>
      </c>
      <c r="AM970" s="327">
        <f t="shared" si="23"/>
        <v>27909</v>
      </c>
    </row>
    <row r="971" spans="1:39" ht="18" customHeight="1" x14ac:dyDescent="0.3">
      <c r="A971" s="424">
        <f t="shared" si="24"/>
        <v>667</v>
      </c>
      <c r="B971" s="422" t="s">
        <v>1510</v>
      </c>
      <c r="C971" s="11" t="s">
        <v>268</v>
      </c>
      <c r="D971" s="11" t="s">
        <v>1736</v>
      </c>
      <c r="E971" s="31" t="s">
        <v>144</v>
      </c>
      <c r="F971" s="23" t="s">
        <v>49</v>
      </c>
      <c r="G971" s="426" t="s">
        <v>1737</v>
      </c>
      <c r="H971" s="133">
        <v>267</v>
      </c>
      <c r="I971" s="158" t="s">
        <v>1738</v>
      </c>
      <c r="J971" s="133">
        <v>19</v>
      </c>
      <c r="K971" s="132" t="s">
        <v>218</v>
      </c>
      <c r="L971" s="132" t="s">
        <v>218</v>
      </c>
      <c r="M971" s="24">
        <v>32350</v>
      </c>
      <c r="N971" s="330">
        <v>28704</v>
      </c>
      <c r="O971" s="368">
        <v>3272</v>
      </c>
      <c r="P971" s="327" t="s">
        <v>515</v>
      </c>
      <c r="Q971" s="330">
        <v>3285</v>
      </c>
      <c r="R971" s="327" t="s">
        <v>515</v>
      </c>
      <c r="S971" s="330">
        <v>2207</v>
      </c>
      <c r="T971" s="327" t="s">
        <v>515</v>
      </c>
      <c r="U971" s="330">
        <v>3253</v>
      </c>
      <c r="V971" s="327" t="s">
        <v>515</v>
      </c>
      <c r="W971" s="330">
        <v>2743</v>
      </c>
      <c r="X971" s="133" t="s">
        <v>515</v>
      </c>
      <c r="Y971" s="330">
        <v>2904</v>
      </c>
      <c r="Z971" s="327" t="s">
        <v>515</v>
      </c>
      <c r="AA971" s="371">
        <v>2584</v>
      </c>
      <c r="AB971" s="133" t="s">
        <v>515</v>
      </c>
      <c r="AC971" s="330">
        <v>2415</v>
      </c>
      <c r="AD971" s="327" t="s">
        <v>515</v>
      </c>
      <c r="AE971" s="330">
        <v>3152</v>
      </c>
      <c r="AF971" s="133" t="s">
        <v>515</v>
      </c>
      <c r="AG971" s="330">
        <v>775</v>
      </c>
      <c r="AH971" s="327" t="s">
        <v>515</v>
      </c>
      <c r="AI971" s="330">
        <v>0</v>
      </c>
      <c r="AJ971" s="133" t="s">
        <v>515</v>
      </c>
      <c r="AK971" s="330">
        <v>2114</v>
      </c>
      <c r="AL971" s="327" t="s">
        <v>515</v>
      </c>
      <c r="AM971" s="327">
        <f t="shared" si="23"/>
        <v>28704</v>
      </c>
    </row>
    <row r="972" spans="1:39" ht="18" customHeight="1" x14ac:dyDescent="0.3">
      <c r="A972" s="425"/>
      <c r="B972" s="423"/>
      <c r="C972" s="11" t="s">
        <v>268</v>
      </c>
      <c r="D972" s="11" t="s">
        <v>1736</v>
      </c>
      <c r="E972" s="31" t="s">
        <v>48</v>
      </c>
      <c r="F972" s="23" t="s">
        <v>49</v>
      </c>
      <c r="G972" s="427"/>
      <c r="H972" s="133"/>
      <c r="I972" s="158" t="s">
        <v>1738</v>
      </c>
      <c r="J972" s="133"/>
      <c r="K972" s="132" t="s">
        <v>218</v>
      </c>
      <c r="L972" s="132" t="s">
        <v>218</v>
      </c>
      <c r="M972" s="24">
        <v>26008</v>
      </c>
      <c r="N972" s="330">
        <v>22614</v>
      </c>
      <c r="O972" s="368">
        <v>5412</v>
      </c>
      <c r="P972" s="327" t="s">
        <v>515</v>
      </c>
      <c r="Q972" s="330">
        <v>1796</v>
      </c>
      <c r="R972" s="327" t="s">
        <v>515</v>
      </c>
      <c r="S972" s="330">
        <v>2874</v>
      </c>
      <c r="T972" s="327" t="s">
        <v>515</v>
      </c>
      <c r="U972" s="330">
        <v>819</v>
      </c>
      <c r="V972" s="327" t="s">
        <v>515</v>
      </c>
      <c r="W972" s="330">
        <v>1419</v>
      </c>
      <c r="X972" s="133" t="s">
        <v>515</v>
      </c>
      <c r="Y972" s="330">
        <v>1340</v>
      </c>
      <c r="Z972" s="327" t="s">
        <v>515</v>
      </c>
      <c r="AA972" s="330">
        <v>1362</v>
      </c>
      <c r="AB972" s="133" t="s">
        <v>515</v>
      </c>
      <c r="AC972" s="330">
        <v>1261</v>
      </c>
      <c r="AD972" s="327" t="s">
        <v>515</v>
      </c>
      <c r="AE972" s="330">
        <v>1757</v>
      </c>
      <c r="AF972" s="133" t="s">
        <v>515</v>
      </c>
      <c r="AG972" s="330">
        <v>913</v>
      </c>
      <c r="AH972" s="327" t="s">
        <v>515</v>
      </c>
      <c r="AI972" s="330">
        <v>0</v>
      </c>
      <c r="AJ972" s="133" t="s">
        <v>515</v>
      </c>
      <c r="AK972" s="330">
        <v>1311</v>
      </c>
      <c r="AL972" s="327" t="s">
        <v>515</v>
      </c>
      <c r="AM972" s="327">
        <f t="shared" si="23"/>
        <v>20264</v>
      </c>
    </row>
    <row r="973" spans="1:39" ht="18" customHeight="1" x14ac:dyDescent="0.3">
      <c r="A973" s="424">
        <f t="shared" si="24"/>
        <v>668</v>
      </c>
      <c r="B973" s="422" t="s">
        <v>1511</v>
      </c>
      <c r="C973" s="11" t="s">
        <v>268</v>
      </c>
      <c r="D973" s="11" t="s">
        <v>1736</v>
      </c>
      <c r="E973" s="31" t="s">
        <v>144</v>
      </c>
      <c r="F973" s="23" t="s">
        <v>49</v>
      </c>
      <c r="G973" s="428" t="s">
        <v>336</v>
      </c>
      <c r="H973" s="133">
        <v>60</v>
      </c>
      <c r="I973" s="158" t="s">
        <v>1738</v>
      </c>
      <c r="J973" s="133">
        <v>5</v>
      </c>
      <c r="K973" s="132" t="s">
        <v>218</v>
      </c>
      <c r="L973" s="132" t="s">
        <v>218</v>
      </c>
      <c r="M973" s="24">
        <v>15449</v>
      </c>
      <c r="N973" s="330">
        <v>16278</v>
      </c>
      <c r="O973" s="368">
        <v>1380</v>
      </c>
      <c r="P973" s="327" t="s">
        <v>515</v>
      </c>
      <c r="Q973" s="330">
        <v>1526</v>
      </c>
      <c r="R973" s="327" t="s">
        <v>515</v>
      </c>
      <c r="S973" s="330">
        <v>1250</v>
      </c>
      <c r="T973" s="327" t="s">
        <v>515</v>
      </c>
      <c r="U973" s="330">
        <v>1508</v>
      </c>
      <c r="V973" s="327" t="s">
        <v>515</v>
      </c>
      <c r="W973" s="330">
        <v>1286</v>
      </c>
      <c r="X973" s="133" t="s">
        <v>515</v>
      </c>
      <c r="Y973" s="330">
        <v>1576</v>
      </c>
      <c r="Z973" s="327" t="s">
        <v>515</v>
      </c>
      <c r="AA973" s="330">
        <v>1264</v>
      </c>
      <c r="AB973" s="133" t="s">
        <v>515</v>
      </c>
      <c r="AC973" s="330">
        <v>1183</v>
      </c>
      <c r="AD973" s="327" t="s">
        <v>515</v>
      </c>
      <c r="AE973" s="330">
        <v>1495</v>
      </c>
      <c r="AF973" s="133" t="s">
        <v>515</v>
      </c>
      <c r="AG973" s="330">
        <v>1276</v>
      </c>
      <c r="AH973" s="327" t="s">
        <v>515</v>
      </c>
      <c r="AI973" s="330">
        <v>1291</v>
      </c>
      <c r="AJ973" s="133" t="s">
        <v>515</v>
      </c>
      <c r="AK973" s="330">
        <v>1243</v>
      </c>
      <c r="AL973" s="327" t="s">
        <v>515</v>
      </c>
      <c r="AM973" s="327">
        <f t="shared" si="23"/>
        <v>16278</v>
      </c>
    </row>
    <row r="974" spans="1:39" ht="18" customHeight="1" x14ac:dyDescent="0.3">
      <c r="A974" s="425"/>
      <c r="B974" s="423"/>
      <c r="C974" s="11" t="s">
        <v>268</v>
      </c>
      <c r="D974" s="11" t="s">
        <v>1736</v>
      </c>
      <c r="E974" s="31" t="s">
        <v>48</v>
      </c>
      <c r="F974" s="23" t="s">
        <v>49</v>
      </c>
      <c r="G974" s="429"/>
      <c r="H974" s="133"/>
      <c r="I974" s="158" t="s">
        <v>1738</v>
      </c>
      <c r="J974" s="133"/>
      <c r="K974" s="132" t="s">
        <v>218</v>
      </c>
      <c r="L974" s="132" t="s">
        <v>218</v>
      </c>
      <c r="M974" s="24">
        <v>26846</v>
      </c>
      <c r="N974" s="330">
        <v>22132</v>
      </c>
      <c r="O974" s="368">
        <v>2401</v>
      </c>
      <c r="P974" s="327" t="s">
        <v>515</v>
      </c>
      <c r="Q974" s="330">
        <v>1716</v>
      </c>
      <c r="R974" s="327" t="s">
        <v>515</v>
      </c>
      <c r="S974" s="330">
        <v>1992</v>
      </c>
      <c r="T974" s="327" t="s">
        <v>515</v>
      </c>
      <c r="U974" s="330">
        <v>1634</v>
      </c>
      <c r="V974" s="327" t="s">
        <v>515</v>
      </c>
      <c r="W974" s="330">
        <v>825</v>
      </c>
      <c r="X974" s="133" t="s">
        <v>515</v>
      </c>
      <c r="Y974" s="330">
        <v>1562</v>
      </c>
      <c r="Z974" s="327" t="s">
        <v>515</v>
      </c>
      <c r="AA974" s="330">
        <v>1619</v>
      </c>
      <c r="AB974" s="133" t="s">
        <v>515</v>
      </c>
      <c r="AC974" s="330">
        <v>1377</v>
      </c>
      <c r="AD974" s="327" t="s">
        <v>515</v>
      </c>
      <c r="AE974" s="330">
        <v>2143</v>
      </c>
      <c r="AF974" s="133" t="s">
        <v>515</v>
      </c>
      <c r="AG974" s="330">
        <v>1903</v>
      </c>
      <c r="AH974" s="327" t="s">
        <v>515</v>
      </c>
      <c r="AI974" s="330">
        <v>1933</v>
      </c>
      <c r="AJ974" s="133" t="s">
        <v>515</v>
      </c>
      <c r="AK974" s="330">
        <v>2832</v>
      </c>
      <c r="AL974" s="327" t="s">
        <v>515</v>
      </c>
      <c r="AM974" s="327">
        <f t="shared" si="23"/>
        <v>21937</v>
      </c>
    </row>
    <row r="975" spans="1:39" ht="18" customHeight="1" x14ac:dyDescent="0.3">
      <c r="A975" s="424">
        <f t="shared" si="24"/>
        <v>669</v>
      </c>
      <c r="B975" s="422" t="s">
        <v>1512</v>
      </c>
      <c r="C975" s="11" t="s">
        <v>268</v>
      </c>
      <c r="D975" s="11" t="s">
        <v>1736</v>
      </c>
      <c r="E975" s="31" t="s">
        <v>144</v>
      </c>
      <c r="F975" s="23" t="s">
        <v>49</v>
      </c>
      <c r="G975" s="426" t="s">
        <v>1737</v>
      </c>
      <c r="H975" s="133">
        <v>180</v>
      </c>
      <c r="I975" s="158" t="s">
        <v>1738</v>
      </c>
      <c r="J975" s="133">
        <v>4</v>
      </c>
      <c r="K975" s="132" t="s">
        <v>218</v>
      </c>
      <c r="L975" s="132" t="s">
        <v>218</v>
      </c>
      <c r="M975" s="12">
        <v>18870</v>
      </c>
      <c r="N975" s="133">
        <v>14269</v>
      </c>
      <c r="O975" s="372">
        <v>1780</v>
      </c>
      <c r="P975" s="327" t="s">
        <v>515</v>
      </c>
      <c r="Q975" s="133">
        <v>1770</v>
      </c>
      <c r="R975" s="327" t="s">
        <v>515</v>
      </c>
      <c r="S975" s="133">
        <v>1500</v>
      </c>
      <c r="T975" s="327" t="s">
        <v>515</v>
      </c>
      <c r="U975" s="133">
        <v>1683</v>
      </c>
      <c r="V975" s="327" t="s">
        <v>515</v>
      </c>
      <c r="W975" s="133">
        <v>0</v>
      </c>
      <c r="X975" s="133" t="s">
        <v>515</v>
      </c>
      <c r="Y975" s="133">
        <v>0</v>
      </c>
      <c r="Z975" s="327" t="s">
        <v>515</v>
      </c>
      <c r="AA975" s="133">
        <v>1710</v>
      </c>
      <c r="AB975" s="133" t="s">
        <v>515</v>
      </c>
      <c r="AC975" s="133">
        <v>1370</v>
      </c>
      <c r="AD975" s="327" t="s">
        <v>515</v>
      </c>
      <c r="AE975" s="133">
        <v>1530</v>
      </c>
      <c r="AF975" s="133" t="s">
        <v>515</v>
      </c>
      <c r="AG975" s="133">
        <v>1470</v>
      </c>
      <c r="AH975" s="327" t="s">
        <v>515</v>
      </c>
      <c r="AI975" s="133">
        <v>0</v>
      </c>
      <c r="AJ975" s="133" t="s">
        <v>515</v>
      </c>
      <c r="AK975" s="133">
        <v>1456</v>
      </c>
      <c r="AL975" s="327" t="s">
        <v>515</v>
      </c>
      <c r="AM975" s="327">
        <f t="shared" si="23"/>
        <v>14269</v>
      </c>
    </row>
    <row r="976" spans="1:39" ht="18" customHeight="1" x14ac:dyDescent="0.3">
      <c r="A976" s="425"/>
      <c r="B976" s="423"/>
      <c r="C976" s="11" t="s">
        <v>268</v>
      </c>
      <c r="D976" s="11" t="s">
        <v>1736</v>
      </c>
      <c r="E976" s="31" t="s">
        <v>48</v>
      </c>
      <c r="F976" s="23" t="s">
        <v>49</v>
      </c>
      <c r="G976" s="427"/>
      <c r="H976" s="133"/>
      <c r="I976" s="158" t="s">
        <v>1738</v>
      </c>
      <c r="J976" s="133"/>
      <c r="K976" s="132" t="s">
        <v>218</v>
      </c>
      <c r="L976" s="132" t="s">
        <v>218</v>
      </c>
      <c r="M976" s="12">
        <v>60587</v>
      </c>
      <c r="N976" s="133">
        <v>44012</v>
      </c>
      <c r="O976" s="372">
        <v>5004</v>
      </c>
      <c r="P976" s="327" t="s">
        <v>515</v>
      </c>
      <c r="Q976" s="133">
        <v>5033</v>
      </c>
      <c r="R976" s="327" t="s">
        <v>515</v>
      </c>
      <c r="S976" s="133">
        <v>5303</v>
      </c>
      <c r="T976" s="327" t="s">
        <v>515</v>
      </c>
      <c r="U976" s="133">
        <v>3888</v>
      </c>
      <c r="V976" s="327" t="s">
        <v>515</v>
      </c>
      <c r="W976" s="133">
        <v>6452</v>
      </c>
      <c r="X976" s="133" t="s">
        <v>515</v>
      </c>
      <c r="Y976" s="133">
        <v>0</v>
      </c>
      <c r="Z976" s="327" t="s">
        <v>515</v>
      </c>
      <c r="AA976" s="133">
        <v>4344</v>
      </c>
      <c r="AB976" s="133" t="s">
        <v>515</v>
      </c>
      <c r="AC976" s="133">
        <v>3631</v>
      </c>
      <c r="AD976" s="327" t="s">
        <v>515</v>
      </c>
      <c r="AE976" s="133">
        <v>3340</v>
      </c>
      <c r="AF976" s="133" t="s">
        <v>515</v>
      </c>
      <c r="AG976" s="133">
        <v>3636</v>
      </c>
      <c r="AH976" s="327" t="s">
        <v>515</v>
      </c>
      <c r="AI976" s="133">
        <v>0</v>
      </c>
      <c r="AJ976" s="133" t="s">
        <v>515</v>
      </c>
      <c r="AK976" s="133">
        <v>3536</v>
      </c>
      <c r="AL976" s="327" t="s">
        <v>515</v>
      </c>
      <c r="AM976" s="327">
        <f t="shared" si="23"/>
        <v>44167</v>
      </c>
    </row>
    <row r="977" spans="1:39" ht="18" customHeight="1" x14ac:dyDescent="0.3">
      <c r="A977" s="424">
        <f t="shared" si="24"/>
        <v>670</v>
      </c>
      <c r="B977" s="422" t="s">
        <v>1513</v>
      </c>
      <c r="C977" s="11" t="s">
        <v>268</v>
      </c>
      <c r="D977" s="11" t="s">
        <v>1736</v>
      </c>
      <c r="E977" s="31" t="s">
        <v>144</v>
      </c>
      <c r="F977" s="23" t="s">
        <v>49</v>
      </c>
      <c r="G977" s="426" t="s">
        <v>1737</v>
      </c>
      <c r="H977" s="133">
        <v>365</v>
      </c>
      <c r="I977" s="158" t="s">
        <v>1738</v>
      </c>
      <c r="J977" s="133">
        <v>20</v>
      </c>
      <c r="K977" s="132" t="s">
        <v>218</v>
      </c>
      <c r="L977" s="132" t="s">
        <v>218</v>
      </c>
      <c r="M977" s="12">
        <v>46340</v>
      </c>
      <c r="N977" s="133">
        <v>39453</v>
      </c>
      <c r="O977" s="372">
        <v>4065</v>
      </c>
      <c r="P977" s="327" t="s">
        <v>515</v>
      </c>
      <c r="Q977" s="133">
        <v>3845</v>
      </c>
      <c r="R977" s="327" t="s">
        <v>515</v>
      </c>
      <c r="S977" s="133">
        <v>3505</v>
      </c>
      <c r="T977" s="327" t="s">
        <v>515</v>
      </c>
      <c r="U977" s="133">
        <v>3960</v>
      </c>
      <c r="V977" s="327" t="s">
        <v>515</v>
      </c>
      <c r="W977" s="133">
        <v>3870</v>
      </c>
      <c r="X977" s="133" t="s">
        <v>515</v>
      </c>
      <c r="Y977" s="133">
        <v>3635</v>
      </c>
      <c r="Z977" s="327" t="s">
        <v>515</v>
      </c>
      <c r="AA977" s="133">
        <v>3780</v>
      </c>
      <c r="AB977" s="133" t="s">
        <v>515</v>
      </c>
      <c r="AC977" s="133">
        <v>2635</v>
      </c>
      <c r="AD977" s="327" t="s">
        <v>515</v>
      </c>
      <c r="AE977" s="133">
        <v>3635</v>
      </c>
      <c r="AF977" s="133" t="s">
        <v>515</v>
      </c>
      <c r="AG977" s="133">
        <v>3325</v>
      </c>
      <c r="AH977" s="327" t="s">
        <v>515</v>
      </c>
      <c r="AI977" s="133">
        <v>0</v>
      </c>
      <c r="AJ977" s="133" t="s">
        <v>515</v>
      </c>
      <c r="AK977" s="133">
        <v>3198</v>
      </c>
      <c r="AL977" s="327" t="s">
        <v>515</v>
      </c>
      <c r="AM977" s="327">
        <f t="shared" si="23"/>
        <v>39453</v>
      </c>
    </row>
    <row r="978" spans="1:39" ht="18" customHeight="1" x14ac:dyDescent="0.3">
      <c r="A978" s="425"/>
      <c r="B978" s="423"/>
      <c r="C978" s="11" t="s">
        <v>268</v>
      </c>
      <c r="D978" s="11" t="s">
        <v>1736</v>
      </c>
      <c r="E978" s="31" t="s">
        <v>48</v>
      </c>
      <c r="F978" s="23" t="s">
        <v>49</v>
      </c>
      <c r="G978" s="427"/>
      <c r="H978" s="133"/>
      <c r="I978" s="158" t="s">
        <v>1738</v>
      </c>
      <c r="J978" s="133"/>
      <c r="K978" s="132" t="s">
        <v>218</v>
      </c>
      <c r="L978" s="132" t="s">
        <v>218</v>
      </c>
      <c r="M978" s="12">
        <v>31674</v>
      </c>
      <c r="N978" s="133">
        <v>33434</v>
      </c>
      <c r="O978" s="372">
        <v>4776</v>
      </c>
      <c r="P978" s="327" t="s">
        <v>515</v>
      </c>
      <c r="Q978" s="133">
        <v>8276</v>
      </c>
      <c r="R978" s="327" t="s">
        <v>515</v>
      </c>
      <c r="S978" s="133">
        <v>8616</v>
      </c>
      <c r="T978" s="327" t="s">
        <v>515</v>
      </c>
      <c r="U978" s="133">
        <v>5503</v>
      </c>
      <c r="V978" s="327" t="s">
        <v>515</v>
      </c>
      <c r="W978" s="133">
        <v>2497</v>
      </c>
      <c r="X978" s="133" t="s">
        <v>515</v>
      </c>
      <c r="Y978" s="133">
        <v>1815</v>
      </c>
      <c r="Z978" s="327" t="s">
        <v>515</v>
      </c>
      <c r="AA978" s="133">
        <v>2310</v>
      </c>
      <c r="AB978" s="133" t="s">
        <v>515</v>
      </c>
      <c r="AC978" s="133">
        <v>1871</v>
      </c>
      <c r="AD978" s="327" t="s">
        <v>515</v>
      </c>
      <c r="AE978" s="133">
        <v>2994</v>
      </c>
      <c r="AF978" s="133" t="s">
        <v>515</v>
      </c>
      <c r="AG978" s="133">
        <v>3501</v>
      </c>
      <c r="AH978" s="327" t="s">
        <v>515</v>
      </c>
      <c r="AI978" s="133">
        <v>0</v>
      </c>
      <c r="AJ978" s="133" t="s">
        <v>515</v>
      </c>
      <c r="AK978" s="133">
        <v>2789</v>
      </c>
      <c r="AL978" s="327" t="s">
        <v>515</v>
      </c>
      <c r="AM978" s="327">
        <f t="shared" si="23"/>
        <v>44948</v>
      </c>
    </row>
    <row r="979" spans="1:39" ht="18" customHeight="1" x14ac:dyDescent="0.3">
      <c r="A979" s="424">
        <f t="shared" si="24"/>
        <v>671</v>
      </c>
      <c r="B979" s="422" t="s">
        <v>1514</v>
      </c>
      <c r="C979" s="11" t="s">
        <v>268</v>
      </c>
      <c r="D979" s="11" t="s">
        <v>1736</v>
      </c>
      <c r="E979" s="31" t="s">
        <v>144</v>
      </c>
      <c r="F979" s="23" t="s">
        <v>49</v>
      </c>
      <c r="G979" s="426" t="s">
        <v>1737</v>
      </c>
      <c r="H979" s="133">
        <v>45</v>
      </c>
      <c r="I979" s="158" t="s">
        <v>1738</v>
      </c>
      <c r="J979" s="133">
        <v>4</v>
      </c>
      <c r="K979" s="132" t="s">
        <v>218</v>
      </c>
      <c r="L979" s="132" t="s">
        <v>218</v>
      </c>
      <c r="M979" s="12">
        <v>6367</v>
      </c>
      <c r="N979" s="133">
        <v>6089</v>
      </c>
      <c r="O979" s="372">
        <v>608</v>
      </c>
      <c r="P979" s="327" t="s">
        <v>515</v>
      </c>
      <c r="Q979" s="133">
        <v>489</v>
      </c>
      <c r="R979" s="327" t="s">
        <v>515</v>
      </c>
      <c r="S979" s="133">
        <v>497</v>
      </c>
      <c r="T979" s="327" t="s">
        <v>515</v>
      </c>
      <c r="U979" s="133">
        <v>519</v>
      </c>
      <c r="V979" s="327" t="s">
        <v>515</v>
      </c>
      <c r="W979" s="133">
        <v>542</v>
      </c>
      <c r="X979" s="133" t="s">
        <v>515</v>
      </c>
      <c r="Y979" s="133">
        <v>503</v>
      </c>
      <c r="Z979" s="327" t="s">
        <v>515</v>
      </c>
      <c r="AA979" s="133">
        <v>521</v>
      </c>
      <c r="AB979" s="133" t="s">
        <v>515</v>
      </c>
      <c r="AC979" s="133">
        <v>343</v>
      </c>
      <c r="AD979" s="327" t="s">
        <v>515</v>
      </c>
      <c r="AE979" s="133">
        <v>477</v>
      </c>
      <c r="AF979" s="133" t="s">
        <v>515</v>
      </c>
      <c r="AG979" s="133">
        <v>539</v>
      </c>
      <c r="AH979" s="327" t="s">
        <v>515</v>
      </c>
      <c r="AI979" s="133">
        <v>553</v>
      </c>
      <c r="AJ979" s="133" t="s">
        <v>515</v>
      </c>
      <c r="AK979" s="133">
        <v>498</v>
      </c>
      <c r="AL979" s="327" t="s">
        <v>515</v>
      </c>
      <c r="AM979" s="327">
        <f t="shared" si="23"/>
        <v>6089</v>
      </c>
    </row>
    <row r="980" spans="1:39" ht="18" customHeight="1" x14ac:dyDescent="0.3">
      <c r="A980" s="425"/>
      <c r="B980" s="423"/>
      <c r="C980" s="11" t="s">
        <v>268</v>
      </c>
      <c r="D980" s="11" t="s">
        <v>1736</v>
      </c>
      <c r="E980" s="31" t="s">
        <v>48</v>
      </c>
      <c r="F980" s="23" t="s">
        <v>49</v>
      </c>
      <c r="G980" s="427"/>
      <c r="H980" s="133"/>
      <c r="I980" s="158" t="s">
        <v>1738</v>
      </c>
      <c r="J980" s="133"/>
      <c r="K980" s="132" t="s">
        <v>218</v>
      </c>
      <c r="L980" s="132" t="s">
        <v>218</v>
      </c>
      <c r="M980" s="12">
        <v>6584</v>
      </c>
      <c r="N980" s="133">
        <v>6837</v>
      </c>
      <c r="O980" s="372">
        <v>1051</v>
      </c>
      <c r="P980" s="327" t="s">
        <v>515</v>
      </c>
      <c r="Q980" s="133">
        <v>1127</v>
      </c>
      <c r="R980" s="327" t="s">
        <v>515</v>
      </c>
      <c r="S980" s="133">
        <v>1119</v>
      </c>
      <c r="T980" s="327" t="s">
        <v>515</v>
      </c>
      <c r="U980" s="133">
        <v>752</v>
      </c>
      <c r="V980" s="327" t="s">
        <v>515</v>
      </c>
      <c r="W980" s="133">
        <v>393</v>
      </c>
      <c r="X980" s="133" t="s">
        <v>515</v>
      </c>
      <c r="Y980" s="133">
        <v>310</v>
      </c>
      <c r="Z980" s="327" t="s">
        <v>515</v>
      </c>
      <c r="AA980" s="133">
        <v>427</v>
      </c>
      <c r="AB980" s="133" t="s">
        <v>515</v>
      </c>
      <c r="AC980" s="133">
        <v>337</v>
      </c>
      <c r="AD980" s="327" t="s">
        <v>515</v>
      </c>
      <c r="AE980" s="133">
        <v>584</v>
      </c>
      <c r="AF980" s="133" t="s">
        <v>515</v>
      </c>
      <c r="AG980" s="133">
        <v>518</v>
      </c>
      <c r="AH980" s="327" t="s">
        <v>515</v>
      </c>
      <c r="AI980" s="133">
        <v>632</v>
      </c>
      <c r="AJ980" s="133" t="s">
        <v>515</v>
      </c>
      <c r="AK980" s="133">
        <v>582</v>
      </c>
      <c r="AL980" s="327" t="s">
        <v>515</v>
      </c>
      <c r="AM980" s="327">
        <f t="shared" si="23"/>
        <v>7832</v>
      </c>
    </row>
    <row r="981" spans="1:39" ht="18" customHeight="1" x14ac:dyDescent="0.3">
      <c r="A981" s="424">
        <f t="shared" si="24"/>
        <v>672</v>
      </c>
      <c r="B981" s="422" t="s">
        <v>1515</v>
      </c>
      <c r="C981" s="11" t="s">
        <v>268</v>
      </c>
      <c r="D981" s="11" t="s">
        <v>1736</v>
      </c>
      <c r="E981" s="31" t="s">
        <v>144</v>
      </c>
      <c r="F981" s="23" t="s">
        <v>49</v>
      </c>
      <c r="G981" s="426" t="s">
        <v>1737</v>
      </c>
      <c r="H981" s="133">
        <v>292</v>
      </c>
      <c r="I981" s="158" t="s">
        <v>1738</v>
      </c>
      <c r="J981" s="133">
        <v>14</v>
      </c>
      <c r="K981" s="132" t="s">
        <v>218</v>
      </c>
      <c r="L981" s="132" t="s">
        <v>218</v>
      </c>
      <c r="M981" s="12">
        <v>47685</v>
      </c>
      <c r="N981" s="133">
        <v>41963</v>
      </c>
      <c r="O981" s="372">
        <v>4820</v>
      </c>
      <c r="P981" s="327" t="s">
        <v>515</v>
      </c>
      <c r="Q981" s="133">
        <v>5005</v>
      </c>
      <c r="R981" s="327" t="s">
        <v>515</v>
      </c>
      <c r="S981" s="133">
        <v>4355</v>
      </c>
      <c r="T981" s="327" t="s">
        <v>515</v>
      </c>
      <c r="U981" s="133">
        <v>5140</v>
      </c>
      <c r="V981" s="327" t="s">
        <v>515</v>
      </c>
      <c r="W981" s="133">
        <v>3635</v>
      </c>
      <c r="X981" s="133" t="s">
        <v>515</v>
      </c>
      <c r="Y981" s="133">
        <v>3665</v>
      </c>
      <c r="Z981" s="327" t="s">
        <v>515</v>
      </c>
      <c r="AA981" s="133">
        <v>3845</v>
      </c>
      <c r="AB981" s="133" t="s">
        <v>515</v>
      </c>
      <c r="AC981" s="133">
        <v>2575</v>
      </c>
      <c r="AD981" s="327" t="s">
        <v>515</v>
      </c>
      <c r="AE981" s="133">
        <v>3565</v>
      </c>
      <c r="AF981" s="133" t="s">
        <v>515</v>
      </c>
      <c r="AG981" s="133">
        <v>2535</v>
      </c>
      <c r="AH981" s="327" t="s">
        <v>515</v>
      </c>
      <c r="AI981" s="133">
        <v>0</v>
      </c>
      <c r="AJ981" s="133" t="s">
        <v>515</v>
      </c>
      <c r="AK981" s="133">
        <v>2823</v>
      </c>
      <c r="AL981" s="327" t="s">
        <v>515</v>
      </c>
      <c r="AM981" s="327">
        <f t="shared" si="23"/>
        <v>41963</v>
      </c>
    </row>
    <row r="982" spans="1:39" ht="18" customHeight="1" x14ac:dyDescent="0.3">
      <c r="A982" s="425"/>
      <c r="B982" s="423"/>
      <c r="C982" s="11" t="s">
        <v>268</v>
      </c>
      <c r="D982" s="11" t="s">
        <v>1736</v>
      </c>
      <c r="E982" s="31" t="s">
        <v>48</v>
      </c>
      <c r="F982" s="23" t="s">
        <v>49</v>
      </c>
      <c r="G982" s="427"/>
      <c r="H982" s="133"/>
      <c r="I982" s="158" t="s">
        <v>1738</v>
      </c>
      <c r="J982" s="133"/>
      <c r="K982" s="132" t="s">
        <v>218</v>
      </c>
      <c r="L982" s="132" t="s">
        <v>218</v>
      </c>
      <c r="M982" s="12">
        <v>15591</v>
      </c>
      <c r="N982" s="133">
        <v>21595</v>
      </c>
      <c r="O982" s="372">
        <v>1885</v>
      </c>
      <c r="P982" s="327" t="s">
        <v>515</v>
      </c>
      <c r="Q982" s="133">
        <v>2069</v>
      </c>
      <c r="R982" s="327" t="s">
        <v>515</v>
      </c>
      <c r="S982" s="133">
        <v>2719</v>
      </c>
      <c r="T982" s="327" t="s">
        <v>515</v>
      </c>
      <c r="U982" s="133">
        <v>-1139</v>
      </c>
      <c r="V982" s="327" t="s">
        <v>515</v>
      </c>
      <c r="W982" s="133">
        <v>839</v>
      </c>
      <c r="X982" s="133" t="s">
        <v>515</v>
      </c>
      <c r="Y982" s="133">
        <v>649</v>
      </c>
      <c r="Z982" s="327" t="s">
        <v>515</v>
      </c>
      <c r="AA982" s="133">
        <v>915</v>
      </c>
      <c r="AB982" s="133" t="s">
        <v>515</v>
      </c>
      <c r="AC982" s="133">
        <v>669</v>
      </c>
      <c r="AD982" s="327" t="s">
        <v>515</v>
      </c>
      <c r="AE982" s="133">
        <v>1147</v>
      </c>
      <c r="AF982" s="133" t="s">
        <v>515</v>
      </c>
      <c r="AG982" s="133">
        <v>938</v>
      </c>
      <c r="AH982" s="327" t="s">
        <v>515</v>
      </c>
      <c r="AI982" s="133">
        <v>6146</v>
      </c>
      <c r="AJ982" s="133" t="s">
        <v>515</v>
      </c>
      <c r="AK982" s="133">
        <v>3795</v>
      </c>
      <c r="AL982" s="327" t="s">
        <v>515</v>
      </c>
      <c r="AM982" s="327">
        <f t="shared" si="23"/>
        <v>20632</v>
      </c>
    </row>
    <row r="983" spans="1:39" ht="18" customHeight="1" x14ac:dyDescent="0.3">
      <c r="A983" s="424">
        <f t="shared" si="24"/>
        <v>673</v>
      </c>
      <c r="B983" s="422" t="s">
        <v>1516</v>
      </c>
      <c r="C983" s="11" t="s">
        <v>268</v>
      </c>
      <c r="D983" s="11" t="s">
        <v>1736</v>
      </c>
      <c r="E983" s="31" t="s">
        <v>144</v>
      </c>
      <c r="F983" s="23" t="s">
        <v>49</v>
      </c>
      <c r="G983" s="428" t="s">
        <v>336</v>
      </c>
      <c r="H983" s="133">
        <v>133</v>
      </c>
      <c r="I983" s="158" t="s">
        <v>1738</v>
      </c>
      <c r="J983" s="133">
        <v>3</v>
      </c>
      <c r="K983" s="132" t="s">
        <v>218</v>
      </c>
      <c r="L983" s="132" t="s">
        <v>218</v>
      </c>
      <c r="M983" s="12">
        <v>14943.91</v>
      </c>
      <c r="N983" s="133">
        <v>15062.51</v>
      </c>
      <c r="O983" s="372">
        <v>1245</v>
      </c>
      <c r="P983" s="327" t="s">
        <v>515</v>
      </c>
      <c r="Q983" s="133">
        <v>1245</v>
      </c>
      <c r="R983" s="327" t="s">
        <v>515</v>
      </c>
      <c r="S983" s="133">
        <v>1245</v>
      </c>
      <c r="T983" s="327" t="s">
        <v>515</v>
      </c>
      <c r="U983" s="133">
        <v>1245</v>
      </c>
      <c r="V983" s="327" t="s">
        <v>515</v>
      </c>
      <c r="W983" s="133">
        <v>1245</v>
      </c>
      <c r="X983" s="133" t="s">
        <v>515</v>
      </c>
      <c r="Y983" s="133">
        <v>1245</v>
      </c>
      <c r="Z983" s="327" t="s">
        <v>515</v>
      </c>
      <c r="AA983" s="133">
        <v>1245</v>
      </c>
      <c r="AB983" s="133" t="s">
        <v>515</v>
      </c>
      <c r="AC983" s="133">
        <v>1245</v>
      </c>
      <c r="AD983" s="327" t="s">
        <v>515</v>
      </c>
      <c r="AE983" s="133">
        <v>1245</v>
      </c>
      <c r="AF983" s="133" t="s">
        <v>515</v>
      </c>
      <c r="AG983" s="133">
        <v>1245</v>
      </c>
      <c r="AH983" s="327" t="s">
        <v>515</v>
      </c>
      <c r="AI983" s="133">
        <v>1245</v>
      </c>
      <c r="AJ983" s="133" t="s">
        <v>515</v>
      </c>
      <c r="AK983" s="133">
        <v>1364</v>
      </c>
      <c r="AL983" s="327" t="s">
        <v>515</v>
      </c>
      <c r="AM983" s="327">
        <f t="shared" si="23"/>
        <v>15059</v>
      </c>
    </row>
    <row r="984" spans="1:39" ht="18" customHeight="1" x14ac:dyDescent="0.3">
      <c r="A984" s="425"/>
      <c r="B984" s="423"/>
      <c r="C984" s="11" t="s">
        <v>268</v>
      </c>
      <c r="D984" s="11" t="s">
        <v>1736</v>
      </c>
      <c r="E984" s="31" t="s">
        <v>48</v>
      </c>
      <c r="F984" s="23" t="s">
        <v>49</v>
      </c>
      <c r="G984" s="429"/>
      <c r="H984" s="133"/>
      <c r="I984" s="158" t="s">
        <v>1738</v>
      </c>
      <c r="J984" s="133"/>
      <c r="K984" s="132" t="s">
        <v>218</v>
      </c>
      <c r="L984" s="132" t="s">
        <v>218</v>
      </c>
      <c r="M984" s="12">
        <v>548306.09</v>
      </c>
      <c r="N984" s="133">
        <v>533577.48</v>
      </c>
      <c r="O984" s="372">
        <v>59595</v>
      </c>
      <c r="P984" s="327" t="s">
        <v>515</v>
      </c>
      <c r="Q984" s="133">
        <v>56025</v>
      </c>
      <c r="R984" s="327" t="s">
        <v>515</v>
      </c>
      <c r="S984" s="133">
        <v>56025</v>
      </c>
      <c r="T984" s="327" t="s">
        <v>515</v>
      </c>
      <c r="U984" s="133">
        <v>34425</v>
      </c>
      <c r="V984" s="327" t="s">
        <v>515</v>
      </c>
      <c r="W984" s="133">
        <v>38385</v>
      </c>
      <c r="X984" s="133" t="s">
        <v>515</v>
      </c>
      <c r="Y984" s="133">
        <v>33015</v>
      </c>
      <c r="Z984" s="327" t="s">
        <v>515</v>
      </c>
      <c r="AA984" s="133">
        <v>32865</v>
      </c>
      <c r="AB984" s="133" t="s">
        <v>515</v>
      </c>
      <c r="AC984" s="133">
        <v>21615</v>
      </c>
      <c r="AD984" s="327" t="s">
        <v>515</v>
      </c>
      <c r="AE984" s="133">
        <v>38715</v>
      </c>
      <c r="AF984" s="133" t="s">
        <v>515</v>
      </c>
      <c r="AG984" s="133">
        <v>41475</v>
      </c>
      <c r="AH984" s="327" t="s">
        <v>515</v>
      </c>
      <c r="AI984" s="133">
        <v>48345</v>
      </c>
      <c r="AJ984" s="133" t="s">
        <v>515</v>
      </c>
      <c r="AK984" s="133">
        <v>49156</v>
      </c>
      <c r="AL984" s="327" t="s">
        <v>515</v>
      </c>
      <c r="AM984" s="327">
        <f t="shared" si="23"/>
        <v>509641</v>
      </c>
    </row>
    <row r="985" spans="1:39" ht="18" customHeight="1" x14ac:dyDescent="0.3">
      <c r="A985" s="424">
        <f t="shared" si="24"/>
        <v>674</v>
      </c>
      <c r="B985" s="422" t="s">
        <v>1517</v>
      </c>
      <c r="C985" s="11" t="s">
        <v>268</v>
      </c>
      <c r="D985" s="11" t="s">
        <v>1736</v>
      </c>
      <c r="E985" s="31" t="s">
        <v>144</v>
      </c>
      <c r="F985" s="23" t="s">
        <v>49</v>
      </c>
      <c r="G985" s="426" t="s">
        <v>1737</v>
      </c>
      <c r="H985" s="133">
        <v>142</v>
      </c>
      <c r="I985" s="158" t="s">
        <v>1738</v>
      </c>
      <c r="J985" s="133">
        <v>6</v>
      </c>
      <c r="K985" s="132" t="s">
        <v>218</v>
      </c>
      <c r="L985" s="132" t="s">
        <v>218</v>
      </c>
      <c r="M985" s="12">
        <v>17388</v>
      </c>
      <c r="N985" s="133">
        <v>14595</v>
      </c>
      <c r="O985" s="372">
        <v>1605</v>
      </c>
      <c r="P985" s="327" t="s">
        <v>515</v>
      </c>
      <c r="Q985" s="133">
        <v>1347</v>
      </c>
      <c r="R985" s="327" t="s">
        <v>515</v>
      </c>
      <c r="S985" s="133">
        <v>1376</v>
      </c>
      <c r="T985" s="327" t="s">
        <v>515</v>
      </c>
      <c r="U985" s="133">
        <v>1671</v>
      </c>
      <c r="V985" s="327" t="s">
        <v>515</v>
      </c>
      <c r="W985" s="133">
        <v>1327</v>
      </c>
      <c r="X985" s="133" t="s">
        <v>515</v>
      </c>
      <c r="Y985" s="133">
        <v>1437</v>
      </c>
      <c r="Z985" s="327" t="s">
        <v>515</v>
      </c>
      <c r="AA985" s="133">
        <v>1298</v>
      </c>
      <c r="AB985" s="133" t="s">
        <v>515</v>
      </c>
      <c r="AC985" s="133">
        <v>1097</v>
      </c>
      <c r="AD985" s="327" t="s">
        <v>515</v>
      </c>
      <c r="AE985" s="133">
        <v>1254</v>
      </c>
      <c r="AF985" s="133" t="s">
        <v>515</v>
      </c>
      <c r="AG985" s="133">
        <v>1049</v>
      </c>
      <c r="AH985" s="327" t="s">
        <v>515</v>
      </c>
      <c r="AI985" s="133">
        <v>0</v>
      </c>
      <c r="AJ985" s="133" t="s">
        <v>515</v>
      </c>
      <c r="AK985" s="133">
        <v>1134</v>
      </c>
      <c r="AL985" s="327" t="s">
        <v>515</v>
      </c>
      <c r="AM985" s="327">
        <f t="shared" si="23"/>
        <v>14595</v>
      </c>
    </row>
    <row r="986" spans="1:39" ht="18" customHeight="1" x14ac:dyDescent="0.3">
      <c r="A986" s="425"/>
      <c r="B986" s="423"/>
      <c r="C986" s="11" t="s">
        <v>268</v>
      </c>
      <c r="D986" s="11" t="s">
        <v>1736</v>
      </c>
      <c r="E986" s="31" t="s">
        <v>48</v>
      </c>
      <c r="F986" s="23" t="s">
        <v>49</v>
      </c>
      <c r="G986" s="427"/>
      <c r="H986" s="133"/>
      <c r="I986" s="158" t="s">
        <v>1738</v>
      </c>
      <c r="J986" s="133"/>
      <c r="K986" s="132" t="s">
        <v>218</v>
      </c>
      <c r="L986" s="132" t="s">
        <v>218</v>
      </c>
      <c r="M986" s="12">
        <v>24859</v>
      </c>
      <c r="N986" s="133">
        <v>32521</v>
      </c>
      <c r="O986" s="372">
        <v>3704</v>
      </c>
      <c r="P986" s="327" t="s">
        <v>515</v>
      </c>
      <c r="Q986" s="133">
        <v>2189</v>
      </c>
      <c r="R986" s="327" t="s">
        <v>515</v>
      </c>
      <c r="S986" s="133">
        <v>2160</v>
      </c>
      <c r="T986" s="327" t="s">
        <v>515</v>
      </c>
      <c r="U986" s="133">
        <v>983</v>
      </c>
      <c r="V986" s="327" t="s">
        <v>515</v>
      </c>
      <c r="W986" s="133">
        <v>2922</v>
      </c>
      <c r="X986" s="133" t="s">
        <v>515</v>
      </c>
      <c r="Y986" s="133">
        <v>2978</v>
      </c>
      <c r="Z986" s="327" t="s">
        <v>515</v>
      </c>
      <c r="AA986" s="133">
        <v>2548</v>
      </c>
      <c r="AB986" s="133" t="s">
        <v>515</v>
      </c>
      <c r="AC986" s="133">
        <v>2560</v>
      </c>
      <c r="AD986" s="327" t="s">
        <v>515</v>
      </c>
      <c r="AE986" s="133">
        <v>2373</v>
      </c>
      <c r="AF986" s="133" t="s">
        <v>515</v>
      </c>
      <c r="AG986" s="133">
        <v>2150</v>
      </c>
      <c r="AH986" s="327" t="s">
        <v>515</v>
      </c>
      <c r="AI986" s="133">
        <v>0</v>
      </c>
      <c r="AJ986" s="133" t="s">
        <v>515</v>
      </c>
      <c r="AK986" s="133">
        <v>2362</v>
      </c>
      <c r="AL986" s="327" t="s">
        <v>515</v>
      </c>
      <c r="AM986" s="327">
        <f t="shared" si="23"/>
        <v>26929</v>
      </c>
    </row>
    <row r="987" spans="1:39" ht="18" customHeight="1" x14ac:dyDescent="0.3">
      <c r="A987" s="424">
        <f t="shared" si="24"/>
        <v>675</v>
      </c>
      <c r="B987" s="422" t="s">
        <v>1518</v>
      </c>
      <c r="C987" s="11" t="s">
        <v>268</v>
      </c>
      <c r="D987" s="11" t="s">
        <v>1736</v>
      </c>
      <c r="E987" s="31" t="s">
        <v>144</v>
      </c>
      <c r="F987" s="23" t="s">
        <v>49</v>
      </c>
      <c r="G987" s="426" t="s">
        <v>1737</v>
      </c>
      <c r="H987" s="133">
        <v>53</v>
      </c>
      <c r="I987" s="158" t="s">
        <v>1738</v>
      </c>
      <c r="J987" s="133">
        <v>3</v>
      </c>
      <c r="K987" s="132" t="s">
        <v>218</v>
      </c>
      <c r="L987" s="132" t="s">
        <v>218</v>
      </c>
      <c r="M987" s="12">
        <v>5885</v>
      </c>
      <c r="N987" s="133">
        <v>5134</v>
      </c>
      <c r="O987" s="372">
        <v>570</v>
      </c>
      <c r="P987" s="327" t="s">
        <v>515</v>
      </c>
      <c r="Q987" s="133">
        <v>484</v>
      </c>
      <c r="R987" s="327" t="s">
        <v>515</v>
      </c>
      <c r="S987" s="133">
        <v>445</v>
      </c>
      <c r="T987" s="327" t="s">
        <v>515</v>
      </c>
      <c r="U987" s="133">
        <v>570</v>
      </c>
      <c r="V987" s="327" t="s">
        <v>515</v>
      </c>
      <c r="W987" s="133">
        <v>449</v>
      </c>
      <c r="X987" s="133" t="s">
        <v>515</v>
      </c>
      <c r="Y987" s="133">
        <v>431</v>
      </c>
      <c r="Z987" s="327" t="s">
        <v>515</v>
      </c>
      <c r="AA987" s="133">
        <v>415</v>
      </c>
      <c r="AB987" s="133" t="s">
        <v>515</v>
      </c>
      <c r="AC987" s="133">
        <v>366</v>
      </c>
      <c r="AD987" s="327" t="s">
        <v>515</v>
      </c>
      <c r="AE987" s="133">
        <v>399</v>
      </c>
      <c r="AF987" s="133" t="s">
        <v>515</v>
      </c>
      <c r="AG987" s="133">
        <v>454</v>
      </c>
      <c r="AH987" s="327" t="s">
        <v>515</v>
      </c>
      <c r="AI987" s="133">
        <v>426</v>
      </c>
      <c r="AJ987" s="133" t="s">
        <v>515</v>
      </c>
      <c r="AK987" s="133">
        <v>125</v>
      </c>
      <c r="AL987" s="327" t="s">
        <v>515</v>
      </c>
      <c r="AM987" s="327">
        <f t="shared" si="23"/>
        <v>5134</v>
      </c>
    </row>
    <row r="988" spans="1:39" ht="18" customHeight="1" x14ac:dyDescent="0.3">
      <c r="A988" s="425"/>
      <c r="B988" s="423"/>
      <c r="C988" s="11" t="s">
        <v>268</v>
      </c>
      <c r="D988" s="11" t="s">
        <v>1736</v>
      </c>
      <c r="E988" s="31" t="s">
        <v>48</v>
      </c>
      <c r="F988" s="23" t="s">
        <v>49</v>
      </c>
      <c r="G988" s="427"/>
      <c r="H988" s="133"/>
      <c r="I988" s="158" t="s">
        <v>1738</v>
      </c>
      <c r="J988" s="133"/>
      <c r="K988" s="132" t="s">
        <v>218</v>
      </c>
      <c r="L988" s="132" t="s">
        <v>218</v>
      </c>
      <c r="M988" s="12">
        <v>3267</v>
      </c>
      <c r="N988" s="133">
        <v>3347</v>
      </c>
      <c r="O988" s="372">
        <v>361</v>
      </c>
      <c r="P988" s="327" t="s">
        <v>515</v>
      </c>
      <c r="Q988" s="133">
        <v>555</v>
      </c>
      <c r="R988" s="327" t="s">
        <v>515</v>
      </c>
      <c r="S988" s="133">
        <v>594</v>
      </c>
      <c r="T988" s="327" t="s">
        <v>515</v>
      </c>
      <c r="U988" s="133">
        <v>178</v>
      </c>
      <c r="V988" s="327" t="s">
        <v>515</v>
      </c>
      <c r="W988" s="133">
        <v>228</v>
      </c>
      <c r="X988" s="133" t="s">
        <v>515</v>
      </c>
      <c r="Y988" s="133">
        <v>198</v>
      </c>
      <c r="Z988" s="327" t="s">
        <v>515</v>
      </c>
      <c r="AA988" s="133">
        <v>228</v>
      </c>
      <c r="AB988" s="133" t="s">
        <v>515</v>
      </c>
      <c r="AC988" s="133">
        <v>204</v>
      </c>
      <c r="AD988" s="327" t="s">
        <v>515</v>
      </c>
      <c r="AE988" s="133">
        <v>230</v>
      </c>
      <c r="AF988" s="133" t="s">
        <v>515</v>
      </c>
      <c r="AG988" s="133">
        <v>251</v>
      </c>
      <c r="AH988" s="327" t="s">
        <v>515</v>
      </c>
      <c r="AI988" s="133">
        <v>306</v>
      </c>
      <c r="AJ988" s="133" t="s">
        <v>515</v>
      </c>
      <c r="AK988" s="133">
        <v>362</v>
      </c>
      <c r="AL988" s="327" t="s">
        <v>515</v>
      </c>
      <c r="AM988" s="327">
        <f t="shared" si="23"/>
        <v>3695</v>
      </c>
    </row>
    <row r="989" spans="1:39" ht="18" customHeight="1" x14ac:dyDescent="0.3">
      <c r="A989" s="424">
        <f t="shared" si="24"/>
        <v>676</v>
      </c>
      <c r="B989" s="422" t="s">
        <v>1519</v>
      </c>
      <c r="C989" s="11" t="s">
        <v>268</v>
      </c>
      <c r="D989" s="11" t="s">
        <v>1736</v>
      </c>
      <c r="E989" s="31" t="s">
        <v>144</v>
      </c>
      <c r="F989" s="23" t="s">
        <v>49</v>
      </c>
      <c r="G989" s="426" t="s">
        <v>1737</v>
      </c>
      <c r="H989" s="133">
        <v>154</v>
      </c>
      <c r="I989" s="158" t="s">
        <v>1738</v>
      </c>
      <c r="J989" s="133">
        <v>7</v>
      </c>
      <c r="K989" s="132" t="s">
        <v>218</v>
      </c>
      <c r="L989" s="132" t="s">
        <v>218</v>
      </c>
      <c r="M989" s="12">
        <v>14780</v>
      </c>
      <c r="N989" s="133">
        <v>15670</v>
      </c>
      <c r="O989" s="372">
        <v>1420</v>
      </c>
      <c r="P989" s="327" t="s">
        <v>515</v>
      </c>
      <c r="Q989" s="133">
        <v>1470</v>
      </c>
      <c r="R989" s="327" t="s">
        <v>515</v>
      </c>
      <c r="S989" s="133">
        <v>1280</v>
      </c>
      <c r="T989" s="327" t="s">
        <v>515</v>
      </c>
      <c r="U989" s="133">
        <v>1440</v>
      </c>
      <c r="V989" s="327" t="s">
        <v>515</v>
      </c>
      <c r="W989" s="133">
        <v>1220</v>
      </c>
      <c r="X989" s="133" t="s">
        <v>515</v>
      </c>
      <c r="Y989" s="133">
        <v>1450</v>
      </c>
      <c r="Z989" s="327" t="s">
        <v>515</v>
      </c>
      <c r="AA989" s="133">
        <v>1150</v>
      </c>
      <c r="AB989" s="133" t="s">
        <v>515</v>
      </c>
      <c r="AC989" s="133">
        <v>1020</v>
      </c>
      <c r="AD989" s="327" t="s">
        <v>515</v>
      </c>
      <c r="AE989" s="133">
        <v>1270</v>
      </c>
      <c r="AF989" s="133" t="s">
        <v>515</v>
      </c>
      <c r="AG989" s="133">
        <v>1380</v>
      </c>
      <c r="AH989" s="327" t="s">
        <v>515</v>
      </c>
      <c r="AI989" s="133">
        <v>1380</v>
      </c>
      <c r="AJ989" s="133" t="s">
        <v>515</v>
      </c>
      <c r="AK989" s="133">
        <v>1190</v>
      </c>
      <c r="AL989" s="327" t="s">
        <v>515</v>
      </c>
      <c r="AM989" s="327">
        <f t="shared" si="23"/>
        <v>15670</v>
      </c>
    </row>
    <row r="990" spans="1:39" ht="18" customHeight="1" x14ac:dyDescent="0.3">
      <c r="A990" s="425"/>
      <c r="B990" s="423"/>
      <c r="C990" s="11" t="s">
        <v>268</v>
      </c>
      <c r="D990" s="11" t="s">
        <v>1736</v>
      </c>
      <c r="E990" s="31" t="s">
        <v>48</v>
      </c>
      <c r="F990" s="23" t="s">
        <v>49</v>
      </c>
      <c r="G990" s="427"/>
      <c r="H990" s="133"/>
      <c r="I990" s="158" t="s">
        <v>1738</v>
      </c>
      <c r="J990" s="133"/>
      <c r="K990" s="132" t="s">
        <v>218</v>
      </c>
      <c r="L990" s="132" t="s">
        <v>218</v>
      </c>
      <c r="M990" s="12">
        <v>22699</v>
      </c>
      <c r="N990" s="133">
        <v>24598</v>
      </c>
      <c r="O990" s="372">
        <v>2956</v>
      </c>
      <c r="P990" s="327" t="s">
        <v>515</v>
      </c>
      <c r="Q990" s="133">
        <v>2896</v>
      </c>
      <c r="R990" s="327" t="s">
        <v>515</v>
      </c>
      <c r="S990" s="133">
        <v>3086</v>
      </c>
      <c r="T990" s="327" t="s">
        <v>515</v>
      </c>
      <c r="U990" s="133">
        <v>1505</v>
      </c>
      <c r="V990" s="327" t="s">
        <v>515</v>
      </c>
      <c r="W990" s="133">
        <v>1491</v>
      </c>
      <c r="X990" s="133" t="s">
        <v>515</v>
      </c>
      <c r="Y990" s="133">
        <v>1680</v>
      </c>
      <c r="Z990" s="327" t="s">
        <v>515</v>
      </c>
      <c r="AA990" s="133">
        <v>1140</v>
      </c>
      <c r="AB990" s="133" t="s">
        <v>515</v>
      </c>
      <c r="AC990" s="133">
        <v>1197</v>
      </c>
      <c r="AD990" s="327" t="s">
        <v>515</v>
      </c>
      <c r="AE990" s="133">
        <v>1607</v>
      </c>
      <c r="AF990" s="133" t="s">
        <v>515</v>
      </c>
      <c r="AG990" s="133">
        <v>2131</v>
      </c>
      <c r="AH990" s="327" t="s">
        <v>515</v>
      </c>
      <c r="AI990" s="133">
        <v>2690</v>
      </c>
      <c r="AJ990" s="133" t="s">
        <v>515</v>
      </c>
      <c r="AK990" s="133">
        <v>1937</v>
      </c>
      <c r="AL990" s="327" t="s">
        <v>515</v>
      </c>
      <c r="AM990" s="327">
        <f t="shared" si="23"/>
        <v>24316</v>
      </c>
    </row>
    <row r="991" spans="1:39" ht="18" customHeight="1" x14ac:dyDescent="0.3">
      <c r="A991" s="424">
        <f t="shared" si="24"/>
        <v>677</v>
      </c>
      <c r="B991" s="422" t="s">
        <v>1520</v>
      </c>
      <c r="C991" s="11" t="s">
        <v>268</v>
      </c>
      <c r="D991" s="11" t="s">
        <v>1736</v>
      </c>
      <c r="E991" s="31" t="s">
        <v>144</v>
      </c>
      <c r="F991" s="23" t="s">
        <v>49</v>
      </c>
      <c r="G991" s="426" t="s">
        <v>1737</v>
      </c>
      <c r="H991" s="133">
        <v>441</v>
      </c>
      <c r="I991" s="158" t="s">
        <v>1738</v>
      </c>
      <c r="J991" s="133">
        <v>21</v>
      </c>
      <c r="K991" s="132" t="s">
        <v>218</v>
      </c>
      <c r="L991" s="132" t="s">
        <v>218</v>
      </c>
      <c r="M991" s="12">
        <v>55020</v>
      </c>
      <c r="N991" s="133">
        <v>49894</v>
      </c>
      <c r="O991" s="372">
        <v>4730</v>
      </c>
      <c r="P991" s="327" t="s">
        <v>515</v>
      </c>
      <c r="Q991" s="133">
        <v>4240</v>
      </c>
      <c r="R991" s="327" t="s">
        <v>515</v>
      </c>
      <c r="S991" s="133">
        <v>4780</v>
      </c>
      <c r="T991" s="327" t="s">
        <v>515</v>
      </c>
      <c r="U991" s="133">
        <v>5350</v>
      </c>
      <c r="V991" s="327" t="s">
        <v>515</v>
      </c>
      <c r="W991" s="133">
        <v>4070</v>
      </c>
      <c r="X991" s="133" t="s">
        <v>515</v>
      </c>
      <c r="Y991" s="133">
        <v>5030</v>
      </c>
      <c r="Z991" s="327" t="s">
        <v>515</v>
      </c>
      <c r="AA991" s="133">
        <v>3880</v>
      </c>
      <c r="AB991" s="133" t="s">
        <v>515</v>
      </c>
      <c r="AC991" s="133">
        <v>3770</v>
      </c>
      <c r="AD991" s="327" t="s">
        <v>515</v>
      </c>
      <c r="AE991" s="133">
        <v>3060</v>
      </c>
      <c r="AF991" s="133" t="s">
        <v>515</v>
      </c>
      <c r="AG991" s="133">
        <v>6530</v>
      </c>
      <c r="AH991" s="327" t="s">
        <v>515</v>
      </c>
      <c r="AI991" s="133">
        <v>0</v>
      </c>
      <c r="AJ991" s="133" t="s">
        <v>515</v>
      </c>
      <c r="AK991" s="133">
        <v>4454</v>
      </c>
      <c r="AL991" s="327" t="s">
        <v>515</v>
      </c>
      <c r="AM991" s="327">
        <f t="shared" si="23"/>
        <v>49894</v>
      </c>
    </row>
    <row r="992" spans="1:39" ht="18" customHeight="1" x14ac:dyDescent="0.3">
      <c r="A992" s="425"/>
      <c r="B992" s="423"/>
      <c r="C992" s="11" t="s">
        <v>268</v>
      </c>
      <c r="D992" s="11" t="s">
        <v>1736</v>
      </c>
      <c r="E992" s="31" t="s">
        <v>48</v>
      </c>
      <c r="F992" s="23" t="s">
        <v>49</v>
      </c>
      <c r="G992" s="427"/>
      <c r="H992" s="133"/>
      <c r="I992" s="158" t="s">
        <v>1738</v>
      </c>
      <c r="J992" s="133"/>
      <c r="K992" s="132" t="s">
        <v>218</v>
      </c>
      <c r="L992" s="132" t="s">
        <v>218</v>
      </c>
      <c r="M992" s="12">
        <v>40567</v>
      </c>
      <c r="N992" s="133">
        <v>39766</v>
      </c>
      <c r="O992" s="372">
        <v>5922</v>
      </c>
      <c r="P992" s="327" t="s">
        <v>515</v>
      </c>
      <c r="Q992" s="133">
        <v>3686</v>
      </c>
      <c r="R992" s="327" t="s">
        <v>515</v>
      </c>
      <c r="S992" s="133">
        <v>3146</v>
      </c>
      <c r="T992" s="327" t="s">
        <v>515</v>
      </c>
      <c r="U992" s="133">
        <v>1375</v>
      </c>
      <c r="V992" s="327" t="s">
        <v>515</v>
      </c>
      <c r="W992" s="133">
        <v>1981</v>
      </c>
      <c r="X992" s="133" t="s">
        <v>515</v>
      </c>
      <c r="Y992" s="133">
        <v>1850</v>
      </c>
      <c r="Z992" s="327" t="s">
        <v>515</v>
      </c>
      <c r="AA992" s="133">
        <v>1491</v>
      </c>
      <c r="AB992" s="133" t="s">
        <v>515</v>
      </c>
      <c r="AC992" s="133">
        <v>3143</v>
      </c>
      <c r="AD992" s="327" t="s">
        <v>515</v>
      </c>
      <c r="AE992" s="133">
        <v>4331</v>
      </c>
      <c r="AF992" s="133" t="s">
        <v>515</v>
      </c>
      <c r="AG992" s="133">
        <v>5448</v>
      </c>
      <c r="AH992" s="327" t="s">
        <v>515</v>
      </c>
      <c r="AI992" s="133">
        <v>0</v>
      </c>
      <c r="AJ992" s="133" t="s">
        <v>515</v>
      </c>
      <c r="AK992" s="133">
        <v>4307</v>
      </c>
      <c r="AL992" s="327" t="s">
        <v>515</v>
      </c>
      <c r="AM992" s="327">
        <f t="shared" si="23"/>
        <v>36680</v>
      </c>
    </row>
    <row r="993" spans="1:39" ht="18" customHeight="1" x14ac:dyDescent="0.3">
      <c r="A993" s="424">
        <f t="shared" si="24"/>
        <v>678</v>
      </c>
      <c r="B993" s="422" t="s">
        <v>1521</v>
      </c>
      <c r="C993" s="11" t="s">
        <v>268</v>
      </c>
      <c r="D993" s="11" t="s">
        <v>1736</v>
      </c>
      <c r="E993" s="31" t="s">
        <v>144</v>
      </c>
      <c r="F993" s="23" t="s">
        <v>49</v>
      </c>
      <c r="G993" s="426" t="s">
        <v>1737</v>
      </c>
      <c r="H993" s="133">
        <v>35</v>
      </c>
      <c r="I993" s="158" t="s">
        <v>1738</v>
      </c>
      <c r="J993" s="133">
        <v>1</v>
      </c>
      <c r="K993" s="132" t="s">
        <v>218</v>
      </c>
      <c r="L993" s="132" t="s">
        <v>218</v>
      </c>
      <c r="M993" s="12">
        <v>1866</v>
      </c>
      <c r="N993" s="133">
        <v>2152</v>
      </c>
      <c r="O993" s="372">
        <v>181</v>
      </c>
      <c r="P993" s="327" t="s">
        <v>515</v>
      </c>
      <c r="Q993" s="133">
        <v>197</v>
      </c>
      <c r="R993" s="327" t="s">
        <v>515</v>
      </c>
      <c r="S993" s="133">
        <v>175</v>
      </c>
      <c r="T993" s="327" t="s">
        <v>515</v>
      </c>
      <c r="U993" s="133">
        <v>219</v>
      </c>
      <c r="V993" s="327" t="s">
        <v>515</v>
      </c>
      <c r="W993" s="133">
        <v>176</v>
      </c>
      <c r="X993" s="133" t="s">
        <v>515</v>
      </c>
      <c r="Y993" s="133">
        <v>160</v>
      </c>
      <c r="Z993" s="327" t="s">
        <v>515</v>
      </c>
      <c r="AA993" s="133">
        <v>189</v>
      </c>
      <c r="AB993" s="133" t="s">
        <v>515</v>
      </c>
      <c r="AC993" s="133">
        <v>168</v>
      </c>
      <c r="AD993" s="327" t="s">
        <v>515</v>
      </c>
      <c r="AE993" s="133">
        <v>185</v>
      </c>
      <c r="AF993" s="133" t="s">
        <v>515</v>
      </c>
      <c r="AG993" s="133">
        <v>137</v>
      </c>
      <c r="AH993" s="327" t="s">
        <v>515</v>
      </c>
      <c r="AI993" s="133">
        <v>211</v>
      </c>
      <c r="AJ993" s="133" t="s">
        <v>515</v>
      </c>
      <c r="AK993" s="133">
        <v>154</v>
      </c>
      <c r="AL993" s="327" t="s">
        <v>515</v>
      </c>
      <c r="AM993" s="327">
        <f t="shared" si="23"/>
        <v>2152</v>
      </c>
    </row>
    <row r="994" spans="1:39" ht="18" customHeight="1" x14ac:dyDescent="0.3">
      <c r="A994" s="425"/>
      <c r="B994" s="423"/>
      <c r="C994" s="11" t="s">
        <v>268</v>
      </c>
      <c r="D994" s="11" t="s">
        <v>1736</v>
      </c>
      <c r="E994" s="31" t="s">
        <v>48</v>
      </c>
      <c r="F994" s="23" t="s">
        <v>49</v>
      </c>
      <c r="G994" s="427"/>
      <c r="H994" s="133"/>
      <c r="I994" s="158" t="s">
        <v>1738</v>
      </c>
      <c r="J994" s="133"/>
      <c r="K994" s="132" t="s">
        <v>218</v>
      </c>
      <c r="L994" s="132" t="s">
        <v>218</v>
      </c>
      <c r="M994" s="12">
        <v>8136</v>
      </c>
      <c r="N994" s="133">
        <v>7771</v>
      </c>
      <c r="O994" s="372">
        <v>622</v>
      </c>
      <c r="P994" s="327" t="s">
        <v>515</v>
      </c>
      <c r="Q994" s="133">
        <v>598</v>
      </c>
      <c r="R994" s="327" t="s">
        <v>515</v>
      </c>
      <c r="S994" s="133">
        <v>620</v>
      </c>
      <c r="T994" s="327" t="s">
        <v>515</v>
      </c>
      <c r="U994" s="133">
        <v>378</v>
      </c>
      <c r="V994" s="327" t="s">
        <v>515</v>
      </c>
      <c r="W994" s="133">
        <v>901</v>
      </c>
      <c r="X994" s="133" t="s">
        <v>515</v>
      </c>
      <c r="Y994" s="133">
        <v>514</v>
      </c>
      <c r="Z994" s="327" t="s">
        <v>515</v>
      </c>
      <c r="AA994" s="133">
        <v>580</v>
      </c>
      <c r="AB994" s="133" t="s">
        <v>515</v>
      </c>
      <c r="AC994" s="133">
        <v>564</v>
      </c>
      <c r="AD994" s="327" t="s">
        <v>515</v>
      </c>
      <c r="AE994" s="133">
        <v>617</v>
      </c>
      <c r="AF994" s="133" t="s">
        <v>515</v>
      </c>
      <c r="AG994" s="133">
        <v>564</v>
      </c>
      <c r="AH994" s="327" t="s">
        <v>515</v>
      </c>
      <c r="AI994" s="133">
        <v>772</v>
      </c>
      <c r="AJ994" s="133" t="s">
        <v>515</v>
      </c>
      <c r="AK994" s="133">
        <v>631</v>
      </c>
      <c r="AL994" s="327" t="s">
        <v>515</v>
      </c>
      <c r="AM994" s="327">
        <f t="shared" si="23"/>
        <v>7361</v>
      </c>
    </row>
    <row r="995" spans="1:39" ht="18" customHeight="1" x14ac:dyDescent="0.3">
      <c r="A995" s="424">
        <f t="shared" si="24"/>
        <v>679</v>
      </c>
      <c r="B995" s="422" t="s">
        <v>1522</v>
      </c>
      <c r="C995" s="11" t="s">
        <v>268</v>
      </c>
      <c r="D995" s="11" t="s">
        <v>1736</v>
      </c>
      <c r="E995" s="31" t="s">
        <v>144</v>
      </c>
      <c r="F995" s="23" t="s">
        <v>49</v>
      </c>
      <c r="G995" s="426" t="s">
        <v>1737</v>
      </c>
      <c r="H995" s="133">
        <v>35</v>
      </c>
      <c r="I995" s="158" t="s">
        <v>1738</v>
      </c>
      <c r="J995" s="133">
        <v>1</v>
      </c>
      <c r="K995" s="132" t="s">
        <v>218</v>
      </c>
      <c r="L995" s="132" t="s">
        <v>218</v>
      </c>
      <c r="M995" s="12">
        <v>1605</v>
      </c>
      <c r="N995" s="133">
        <v>1916</v>
      </c>
      <c r="O995" s="372">
        <v>147</v>
      </c>
      <c r="P995" s="327" t="s">
        <v>515</v>
      </c>
      <c r="Q995" s="133">
        <v>161</v>
      </c>
      <c r="R995" s="327" t="s">
        <v>515</v>
      </c>
      <c r="S995" s="133">
        <v>145</v>
      </c>
      <c r="T995" s="327" t="s">
        <v>515</v>
      </c>
      <c r="U995" s="133">
        <v>151</v>
      </c>
      <c r="V995" s="327" t="s">
        <v>515</v>
      </c>
      <c r="W995" s="133">
        <v>231</v>
      </c>
      <c r="X995" s="133" t="s">
        <v>515</v>
      </c>
      <c r="Y995" s="133">
        <v>142</v>
      </c>
      <c r="Z995" s="327" t="s">
        <v>515</v>
      </c>
      <c r="AA995" s="133">
        <v>168</v>
      </c>
      <c r="AB995" s="133" t="s">
        <v>515</v>
      </c>
      <c r="AC995" s="133">
        <v>145</v>
      </c>
      <c r="AD995" s="327" t="s">
        <v>515</v>
      </c>
      <c r="AE995" s="133">
        <v>171</v>
      </c>
      <c r="AF995" s="133" t="s">
        <v>515</v>
      </c>
      <c r="AG995" s="133">
        <v>131</v>
      </c>
      <c r="AH995" s="327" t="s">
        <v>515</v>
      </c>
      <c r="AI995" s="133">
        <v>189</v>
      </c>
      <c r="AJ995" s="133" t="s">
        <v>515</v>
      </c>
      <c r="AK995" s="133">
        <v>135</v>
      </c>
      <c r="AL995" s="327" t="s">
        <v>515</v>
      </c>
      <c r="AM995" s="327">
        <f t="shared" si="23"/>
        <v>1916</v>
      </c>
    </row>
    <row r="996" spans="1:39" ht="18" customHeight="1" x14ac:dyDescent="0.3">
      <c r="A996" s="425"/>
      <c r="B996" s="423"/>
      <c r="C996" s="11" t="s">
        <v>268</v>
      </c>
      <c r="D996" s="11" t="s">
        <v>1736</v>
      </c>
      <c r="E996" s="31" t="s">
        <v>48</v>
      </c>
      <c r="F996" s="23" t="s">
        <v>49</v>
      </c>
      <c r="G996" s="427"/>
      <c r="H996" s="133"/>
      <c r="I996" s="158" t="s">
        <v>1738</v>
      </c>
      <c r="J996" s="133"/>
      <c r="K996" s="132" t="s">
        <v>218</v>
      </c>
      <c r="L996" s="132" t="s">
        <v>218</v>
      </c>
      <c r="M996" s="12">
        <v>8910</v>
      </c>
      <c r="N996" s="133">
        <v>7902</v>
      </c>
      <c r="O996" s="372">
        <v>770</v>
      </c>
      <c r="P996" s="327" t="s">
        <v>515</v>
      </c>
      <c r="Q996" s="133">
        <v>594</v>
      </c>
      <c r="R996" s="327" t="s">
        <v>515</v>
      </c>
      <c r="S996" s="133">
        <v>610</v>
      </c>
      <c r="T996" s="327" t="s">
        <v>515</v>
      </c>
      <c r="U996" s="133">
        <v>361</v>
      </c>
      <c r="V996" s="327" t="s">
        <v>515</v>
      </c>
      <c r="W996" s="133">
        <v>499</v>
      </c>
      <c r="X996" s="133" t="s">
        <v>515</v>
      </c>
      <c r="Y996" s="133">
        <v>429</v>
      </c>
      <c r="Z996" s="327" t="s">
        <v>515</v>
      </c>
      <c r="AA996" s="133">
        <v>553</v>
      </c>
      <c r="AB996" s="133" t="s">
        <v>515</v>
      </c>
      <c r="AC996" s="133">
        <v>552</v>
      </c>
      <c r="AD996" s="327" t="s">
        <v>515</v>
      </c>
      <c r="AE996" s="133">
        <v>640</v>
      </c>
      <c r="AF996" s="133" t="s">
        <v>515</v>
      </c>
      <c r="AG996" s="133">
        <v>488</v>
      </c>
      <c r="AH996" s="327" t="s">
        <v>515</v>
      </c>
      <c r="AI996" s="133">
        <v>746</v>
      </c>
      <c r="AJ996" s="133" t="s">
        <v>515</v>
      </c>
      <c r="AK996" s="133">
        <v>1057</v>
      </c>
      <c r="AL996" s="327" t="s">
        <v>515</v>
      </c>
      <c r="AM996" s="327">
        <f t="shared" si="23"/>
        <v>7299</v>
      </c>
    </row>
    <row r="997" spans="1:39" ht="18" customHeight="1" x14ac:dyDescent="0.3">
      <c r="A997" s="424">
        <f t="shared" si="24"/>
        <v>680</v>
      </c>
      <c r="B997" s="422" t="s">
        <v>1523</v>
      </c>
      <c r="C997" s="11" t="s">
        <v>268</v>
      </c>
      <c r="D997" s="11" t="s">
        <v>1736</v>
      </c>
      <c r="E997" s="31" t="s">
        <v>144</v>
      </c>
      <c r="F997" s="23" t="s">
        <v>49</v>
      </c>
      <c r="G997" s="426" t="s">
        <v>1737</v>
      </c>
      <c r="H997" s="133">
        <v>125</v>
      </c>
      <c r="I997" s="158" t="s">
        <v>1738</v>
      </c>
      <c r="J997" s="133">
        <v>0</v>
      </c>
      <c r="K997" s="132" t="s">
        <v>218</v>
      </c>
      <c r="L997" s="132" t="s">
        <v>218</v>
      </c>
      <c r="M997" s="12">
        <v>0</v>
      </c>
      <c r="N997" s="133">
        <v>0</v>
      </c>
      <c r="O997" s="372">
        <v>0</v>
      </c>
      <c r="P997" s="327" t="s">
        <v>515</v>
      </c>
      <c r="Q997" s="133">
        <v>0</v>
      </c>
      <c r="R997" s="327" t="s">
        <v>515</v>
      </c>
      <c r="S997" s="133">
        <v>0</v>
      </c>
      <c r="T997" s="327" t="s">
        <v>515</v>
      </c>
      <c r="U997" s="133">
        <v>0</v>
      </c>
      <c r="V997" s="327" t="s">
        <v>515</v>
      </c>
      <c r="W997" s="133">
        <v>0</v>
      </c>
      <c r="X997" s="133" t="s">
        <v>515</v>
      </c>
      <c r="Y997" s="133">
        <v>0</v>
      </c>
      <c r="Z997" s="327" t="s">
        <v>515</v>
      </c>
      <c r="AA997" s="133">
        <v>0</v>
      </c>
      <c r="AB997" s="133" t="s">
        <v>515</v>
      </c>
      <c r="AC997" s="133">
        <v>0</v>
      </c>
      <c r="AD997" s="327" t="s">
        <v>515</v>
      </c>
      <c r="AE997" s="133">
        <v>0</v>
      </c>
      <c r="AF997" s="133" t="s">
        <v>515</v>
      </c>
      <c r="AG997" s="133">
        <v>0</v>
      </c>
      <c r="AH997" s="327" t="s">
        <v>515</v>
      </c>
      <c r="AI997" s="133">
        <v>0</v>
      </c>
      <c r="AJ997" s="133" t="s">
        <v>515</v>
      </c>
      <c r="AK997" s="133">
        <v>0</v>
      </c>
      <c r="AL997" s="327" t="s">
        <v>515</v>
      </c>
      <c r="AM997" s="327">
        <f t="shared" si="23"/>
        <v>0</v>
      </c>
    </row>
    <row r="998" spans="1:39" ht="18" customHeight="1" x14ac:dyDescent="0.3">
      <c r="A998" s="425"/>
      <c r="B998" s="423"/>
      <c r="C998" s="11" t="s">
        <v>268</v>
      </c>
      <c r="D998" s="11" t="s">
        <v>1736</v>
      </c>
      <c r="E998" s="31" t="s">
        <v>48</v>
      </c>
      <c r="F998" s="23" t="s">
        <v>49</v>
      </c>
      <c r="G998" s="427"/>
      <c r="H998" s="133"/>
      <c r="I998" s="158" t="s">
        <v>1738</v>
      </c>
      <c r="J998" s="133"/>
      <c r="K998" s="132" t="s">
        <v>218</v>
      </c>
      <c r="L998" s="132" t="s">
        <v>218</v>
      </c>
      <c r="M998" s="12">
        <v>4653</v>
      </c>
      <c r="N998" s="133">
        <v>5785</v>
      </c>
      <c r="O998" s="372">
        <v>553</v>
      </c>
      <c r="P998" s="327" t="s">
        <v>515</v>
      </c>
      <c r="Q998" s="133">
        <v>525</v>
      </c>
      <c r="R998" s="327" t="s">
        <v>515</v>
      </c>
      <c r="S998" s="133">
        <v>525</v>
      </c>
      <c r="T998" s="327" t="s">
        <v>515</v>
      </c>
      <c r="U998" s="133">
        <v>287</v>
      </c>
      <c r="V998" s="327" t="s">
        <v>515</v>
      </c>
      <c r="W998" s="133">
        <v>579</v>
      </c>
      <c r="X998" s="133" t="s">
        <v>515</v>
      </c>
      <c r="Y998" s="133">
        <v>297</v>
      </c>
      <c r="Z998" s="327" t="s">
        <v>515</v>
      </c>
      <c r="AA998" s="133">
        <v>524</v>
      </c>
      <c r="AB998" s="133" t="s">
        <v>515</v>
      </c>
      <c r="AC998" s="133">
        <v>360</v>
      </c>
      <c r="AD998" s="327" t="s">
        <v>515</v>
      </c>
      <c r="AE998" s="133">
        <v>389</v>
      </c>
      <c r="AF998" s="133" t="s">
        <v>515</v>
      </c>
      <c r="AG998" s="133">
        <v>409</v>
      </c>
      <c r="AH998" s="327" t="s">
        <v>515</v>
      </c>
      <c r="AI998" s="133">
        <v>579</v>
      </c>
      <c r="AJ998" s="133" t="s">
        <v>515</v>
      </c>
      <c r="AK998" s="133">
        <v>501</v>
      </c>
      <c r="AL998" s="327" t="s">
        <v>515</v>
      </c>
      <c r="AM998" s="327">
        <f t="shared" ref="AM998:AM1061" si="25">SUM(O998+Q998+S998+U998+W998+Y998+AA998+AC998+AE998+AG998+AI998+AK998)</f>
        <v>5528</v>
      </c>
    </row>
    <row r="999" spans="1:39" ht="18" customHeight="1" x14ac:dyDescent="0.3">
      <c r="A999" s="424">
        <f t="shared" si="24"/>
        <v>681</v>
      </c>
      <c r="B999" s="422" t="s">
        <v>1524</v>
      </c>
      <c r="C999" s="11" t="s">
        <v>268</v>
      </c>
      <c r="D999" s="11" t="s">
        <v>1736</v>
      </c>
      <c r="E999" s="31" t="s">
        <v>144</v>
      </c>
      <c r="F999" s="23" t="s">
        <v>49</v>
      </c>
      <c r="G999" s="426" t="s">
        <v>1737</v>
      </c>
      <c r="H999" s="133">
        <v>308</v>
      </c>
      <c r="I999" s="158" t="s">
        <v>1738</v>
      </c>
      <c r="J999" s="133">
        <v>0</v>
      </c>
      <c r="K999" s="132" t="s">
        <v>218</v>
      </c>
      <c r="L999" s="132" t="s">
        <v>218</v>
      </c>
      <c r="M999" s="12">
        <v>8647</v>
      </c>
      <c r="N999" s="133">
        <v>13126</v>
      </c>
      <c r="O999" s="372">
        <v>1039</v>
      </c>
      <c r="P999" s="327" t="s">
        <v>515</v>
      </c>
      <c r="Q999" s="133">
        <v>979</v>
      </c>
      <c r="R999" s="327" t="s">
        <v>515</v>
      </c>
      <c r="S999" s="133">
        <v>706</v>
      </c>
      <c r="T999" s="327" t="s">
        <v>515</v>
      </c>
      <c r="U999" s="133">
        <v>986</v>
      </c>
      <c r="V999" s="327" t="s">
        <v>515</v>
      </c>
      <c r="W999" s="133">
        <v>763</v>
      </c>
      <c r="X999" s="133" t="s">
        <v>515</v>
      </c>
      <c r="Y999" s="133">
        <v>957</v>
      </c>
      <c r="Z999" s="327" t="s">
        <v>515</v>
      </c>
      <c r="AA999" s="133">
        <v>913</v>
      </c>
      <c r="AB999" s="133" t="s">
        <v>515</v>
      </c>
      <c r="AC999" s="133">
        <v>925</v>
      </c>
      <c r="AD999" s="327" t="s">
        <v>515</v>
      </c>
      <c r="AE999" s="133">
        <v>1057</v>
      </c>
      <c r="AF999" s="133" t="s">
        <v>515</v>
      </c>
      <c r="AG999" s="133">
        <v>1092</v>
      </c>
      <c r="AH999" s="327" t="s">
        <v>515</v>
      </c>
      <c r="AI999" s="133">
        <v>1595</v>
      </c>
      <c r="AJ999" s="133" t="s">
        <v>515</v>
      </c>
      <c r="AK999" s="133">
        <v>2114</v>
      </c>
      <c r="AL999" s="327" t="s">
        <v>515</v>
      </c>
      <c r="AM999" s="327">
        <f t="shared" si="25"/>
        <v>13126</v>
      </c>
    </row>
    <row r="1000" spans="1:39" ht="18" customHeight="1" x14ac:dyDescent="0.3">
      <c r="A1000" s="425"/>
      <c r="B1000" s="423"/>
      <c r="C1000" s="11" t="s">
        <v>268</v>
      </c>
      <c r="D1000" s="11" t="s">
        <v>1736</v>
      </c>
      <c r="E1000" s="31" t="s">
        <v>48</v>
      </c>
      <c r="F1000" s="23" t="s">
        <v>49</v>
      </c>
      <c r="G1000" s="427"/>
      <c r="H1000" s="133"/>
      <c r="I1000" s="158" t="s">
        <v>1738</v>
      </c>
      <c r="J1000" s="133"/>
      <c r="K1000" s="132" t="s">
        <v>218</v>
      </c>
      <c r="L1000" s="132" t="s">
        <v>218</v>
      </c>
      <c r="M1000" s="12">
        <v>14913</v>
      </c>
      <c r="N1000" s="133">
        <v>19674</v>
      </c>
      <c r="O1000" s="372">
        <v>2269</v>
      </c>
      <c r="P1000" s="327" t="s">
        <v>515</v>
      </c>
      <c r="Q1000" s="133">
        <v>1954</v>
      </c>
      <c r="R1000" s="327" t="s">
        <v>515</v>
      </c>
      <c r="S1000" s="133">
        <v>2227</v>
      </c>
      <c r="T1000" s="327" t="s">
        <v>515</v>
      </c>
      <c r="U1000" s="133">
        <v>919</v>
      </c>
      <c r="V1000" s="327" t="s">
        <v>515</v>
      </c>
      <c r="W1000" s="133">
        <v>1031</v>
      </c>
      <c r="X1000" s="133" t="s">
        <v>515</v>
      </c>
      <c r="Y1000" s="133">
        <v>1276</v>
      </c>
      <c r="Z1000" s="327" t="s">
        <v>515</v>
      </c>
      <c r="AA1000" s="133">
        <v>1096</v>
      </c>
      <c r="AB1000" s="133" t="s">
        <v>515</v>
      </c>
      <c r="AC1000" s="133">
        <v>973</v>
      </c>
      <c r="AD1000" s="327" t="s">
        <v>515</v>
      </c>
      <c r="AE1000" s="133">
        <v>1217</v>
      </c>
      <c r="AF1000" s="133" t="s">
        <v>515</v>
      </c>
      <c r="AG1000" s="133">
        <v>1893</v>
      </c>
      <c r="AH1000" s="327" t="s">
        <v>515</v>
      </c>
      <c r="AI1000" s="133">
        <v>1970</v>
      </c>
      <c r="AJ1000" s="133" t="s">
        <v>515</v>
      </c>
      <c r="AK1000" s="133">
        <v>2095</v>
      </c>
      <c r="AL1000" s="327" t="s">
        <v>515</v>
      </c>
      <c r="AM1000" s="327">
        <f t="shared" si="25"/>
        <v>18920</v>
      </c>
    </row>
    <row r="1001" spans="1:39" ht="18" customHeight="1" x14ac:dyDescent="0.3">
      <c r="A1001" s="424">
        <f t="shared" si="24"/>
        <v>682</v>
      </c>
      <c r="B1001" s="422" t="s">
        <v>1525</v>
      </c>
      <c r="C1001" s="11" t="s">
        <v>268</v>
      </c>
      <c r="D1001" s="11" t="s">
        <v>1736</v>
      </c>
      <c r="E1001" s="31" t="s">
        <v>144</v>
      </c>
      <c r="F1001" s="23" t="s">
        <v>49</v>
      </c>
      <c r="G1001" s="428" t="s">
        <v>336</v>
      </c>
      <c r="H1001" s="133">
        <v>190</v>
      </c>
      <c r="I1001" s="158" t="s">
        <v>1738</v>
      </c>
      <c r="J1001" s="133">
        <v>8</v>
      </c>
      <c r="K1001" s="132" t="s">
        <v>218</v>
      </c>
      <c r="L1001" s="132" t="s">
        <v>218</v>
      </c>
      <c r="M1001" s="12">
        <v>29814</v>
      </c>
      <c r="N1001" s="133">
        <v>25583</v>
      </c>
      <c r="O1001" s="372">
        <v>2519</v>
      </c>
      <c r="P1001" s="327" t="s">
        <v>515</v>
      </c>
      <c r="Q1001" s="133">
        <v>2738</v>
      </c>
      <c r="R1001" s="327" t="s">
        <v>515</v>
      </c>
      <c r="S1001" s="133">
        <v>2232</v>
      </c>
      <c r="T1001" s="327" t="s">
        <v>515</v>
      </c>
      <c r="U1001" s="133">
        <v>2924</v>
      </c>
      <c r="V1001" s="327" t="s">
        <v>515</v>
      </c>
      <c r="W1001" s="133">
        <v>2191</v>
      </c>
      <c r="X1001" s="133" t="s">
        <v>515</v>
      </c>
      <c r="Y1001" s="133">
        <v>2600</v>
      </c>
      <c r="Z1001" s="327" t="s">
        <v>515</v>
      </c>
      <c r="AA1001" s="133">
        <v>2005</v>
      </c>
      <c r="AB1001" s="133" t="s">
        <v>515</v>
      </c>
      <c r="AC1001" s="133">
        <v>2049</v>
      </c>
      <c r="AD1001" s="327" t="s">
        <v>515</v>
      </c>
      <c r="AE1001" s="133">
        <v>2333</v>
      </c>
      <c r="AF1001" s="133" t="s">
        <v>515</v>
      </c>
      <c r="AG1001" s="133">
        <v>1907</v>
      </c>
      <c r="AH1001" s="327" t="s">
        <v>515</v>
      </c>
      <c r="AI1001" s="133">
        <v>0</v>
      </c>
      <c r="AJ1001" s="133" t="s">
        <v>515</v>
      </c>
      <c r="AK1001" s="133">
        <v>2085</v>
      </c>
      <c r="AL1001" s="327" t="s">
        <v>515</v>
      </c>
      <c r="AM1001" s="327">
        <f t="shared" si="25"/>
        <v>25583</v>
      </c>
    </row>
    <row r="1002" spans="1:39" ht="18" customHeight="1" x14ac:dyDescent="0.3">
      <c r="A1002" s="425"/>
      <c r="B1002" s="423"/>
      <c r="C1002" s="11" t="s">
        <v>268</v>
      </c>
      <c r="D1002" s="11" t="s">
        <v>1736</v>
      </c>
      <c r="E1002" s="31" t="s">
        <v>48</v>
      </c>
      <c r="F1002" s="23" t="s">
        <v>49</v>
      </c>
      <c r="G1002" s="429"/>
      <c r="H1002" s="133"/>
      <c r="I1002" s="158" t="s">
        <v>1738</v>
      </c>
      <c r="J1002" s="133"/>
      <c r="K1002" s="132" t="s">
        <v>218</v>
      </c>
      <c r="L1002" s="132" t="s">
        <v>218</v>
      </c>
      <c r="M1002" s="12">
        <v>30849</v>
      </c>
      <c r="N1002" s="133">
        <v>31244</v>
      </c>
      <c r="O1002" s="372">
        <v>3583</v>
      </c>
      <c r="P1002" s="327" t="s">
        <v>515</v>
      </c>
      <c r="Q1002" s="133">
        <v>3083</v>
      </c>
      <c r="R1002" s="327" t="s">
        <v>515</v>
      </c>
      <c r="S1002" s="133">
        <v>3589</v>
      </c>
      <c r="T1002" s="327" t="s">
        <v>515</v>
      </c>
      <c r="U1002" s="133">
        <v>1372</v>
      </c>
      <c r="V1002" s="327" t="s">
        <v>515</v>
      </c>
      <c r="W1002" s="133">
        <v>1789</v>
      </c>
      <c r="X1002" s="133" t="s">
        <v>515</v>
      </c>
      <c r="Y1002" s="133">
        <v>1292</v>
      </c>
      <c r="Z1002" s="327" t="s">
        <v>515</v>
      </c>
      <c r="AA1002" s="133">
        <v>1767</v>
      </c>
      <c r="AB1002" s="133" t="s">
        <v>515</v>
      </c>
      <c r="AC1002" s="133">
        <v>1488</v>
      </c>
      <c r="AD1002" s="327" t="s">
        <v>515</v>
      </c>
      <c r="AE1002" s="133">
        <v>2099</v>
      </c>
      <c r="AF1002" s="133" t="s">
        <v>515</v>
      </c>
      <c r="AG1002" s="133">
        <v>2098</v>
      </c>
      <c r="AH1002" s="327" t="s">
        <v>515</v>
      </c>
      <c r="AI1002" s="133">
        <v>4887</v>
      </c>
      <c r="AJ1002" s="133" t="s">
        <v>515</v>
      </c>
      <c r="AK1002" s="133">
        <v>3007</v>
      </c>
      <c r="AL1002" s="327" t="s">
        <v>515</v>
      </c>
      <c r="AM1002" s="327">
        <f t="shared" si="25"/>
        <v>30054</v>
      </c>
    </row>
    <row r="1003" spans="1:39" ht="18" customHeight="1" x14ac:dyDescent="0.3">
      <c r="A1003" s="424">
        <f t="shared" si="24"/>
        <v>683</v>
      </c>
      <c r="B1003" s="422" t="s">
        <v>1526</v>
      </c>
      <c r="C1003" s="11" t="s">
        <v>268</v>
      </c>
      <c r="D1003" s="11" t="s">
        <v>1736</v>
      </c>
      <c r="E1003" s="31" t="s">
        <v>144</v>
      </c>
      <c r="F1003" s="23" t="s">
        <v>49</v>
      </c>
      <c r="G1003" s="426" t="s">
        <v>1737</v>
      </c>
      <c r="H1003" s="133">
        <v>217</v>
      </c>
      <c r="I1003" s="158" t="s">
        <v>1738</v>
      </c>
      <c r="J1003" s="133">
        <v>7</v>
      </c>
      <c r="K1003" s="132" t="s">
        <v>218</v>
      </c>
      <c r="L1003" s="132" t="s">
        <v>218</v>
      </c>
      <c r="M1003" s="12">
        <v>7640</v>
      </c>
      <c r="N1003" s="133">
        <v>27170</v>
      </c>
      <c r="O1003" s="372">
        <v>2400</v>
      </c>
      <c r="P1003" s="327" t="s">
        <v>515</v>
      </c>
      <c r="Q1003" s="133">
        <v>2540</v>
      </c>
      <c r="R1003" s="327" t="s">
        <v>515</v>
      </c>
      <c r="S1003" s="133">
        <v>2100</v>
      </c>
      <c r="T1003" s="327" t="s">
        <v>515</v>
      </c>
      <c r="U1003" s="133">
        <v>2630</v>
      </c>
      <c r="V1003" s="327" t="s">
        <v>515</v>
      </c>
      <c r="W1003" s="133">
        <v>2290</v>
      </c>
      <c r="X1003" s="133" t="s">
        <v>515</v>
      </c>
      <c r="Y1003" s="133">
        <v>2150</v>
      </c>
      <c r="Z1003" s="327" t="s">
        <v>515</v>
      </c>
      <c r="AA1003" s="133">
        <v>2130</v>
      </c>
      <c r="AB1003" s="133" t="s">
        <v>515</v>
      </c>
      <c r="AC1003" s="133">
        <v>1600</v>
      </c>
      <c r="AD1003" s="327" t="s">
        <v>515</v>
      </c>
      <c r="AE1003" s="133">
        <v>2120</v>
      </c>
      <c r="AF1003" s="133" t="s">
        <v>515</v>
      </c>
      <c r="AG1003" s="133">
        <v>1950</v>
      </c>
      <c r="AH1003" s="327" t="s">
        <v>515</v>
      </c>
      <c r="AI1003" s="133">
        <v>2880</v>
      </c>
      <c r="AJ1003" s="133" t="s">
        <v>515</v>
      </c>
      <c r="AK1003" s="133">
        <v>2380</v>
      </c>
      <c r="AL1003" s="327" t="s">
        <v>515</v>
      </c>
      <c r="AM1003" s="327">
        <f t="shared" si="25"/>
        <v>27170</v>
      </c>
    </row>
    <row r="1004" spans="1:39" ht="18" customHeight="1" x14ac:dyDescent="0.3">
      <c r="A1004" s="425"/>
      <c r="B1004" s="423"/>
      <c r="C1004" s="11" t="s">
        <v>268</v>
      </c>
      <c r="D1004" s="11" t="s">
        <v>1736</v>
      </c>
      <c r="E1004" s="31" t="s">
        <v>48</v>
      </c>
      <c r="F1004" s="23" t="s">
        <v>49</v>
      </c>
      <c r="G1004" s="427"/>
      <c r="H1004" s="133"/>
      <c r="I1004" s="158" t="s">
        <v>1738</v>
      </c>
      <c r="J1004" s="133"/>
      <c r="K1004" s="132" t="s">
        <v>218</v>
      </c>
      <c r="L1004" s="132" t="s">
        <v>218</v>
      </c>
      <c r="M1004" s="12">
        <v>10625</v>
      </c>
      <c r="N1004" s="133">
        <v>12672</v>
      </c>
      <c r="O1004" s="372">
        <v>1659</v>
      </c>
      <c r="P1004" s="327" t="s">
        <v>515</v>
      </c>
      <c r="Q1004" s="133">
        <v>1467</v>
      </c>
      <c r="R1004" s="327" t="s">
        <v>515</v>
      </c>
      <c r="S1004" s="133">
        <v>1907</v>
      </c>
      <c r="T1004" s="327" t="s">
        <v>515</v>
      </c>
      <c r="U1004" s="133">
        <v>647</v>
      </c>
      <c r="V1004" s="327" t="s">
        <v>515</v>
      </c>
      <c r="W1004" s="133">
        <v>730</v>
      </c>
      <c r="X1004" s="133" t="s">
        <v>515</v>
      </c>
      <c r="Y1004" s="133">
        <v>607</v>
      </c>
      <c r="Z1004" s="327" t="s">
        <v>515</v>
      </c>
      <c r="AA1004" s="133">
        <v>630</v>
      </c>
      <c r="AB1004" s="133" t="s">
        <v>515</v>
      </c>
      <c r="AC1004" s="133">
        <v>607</v>
      </c>
      <c r="AD1004" s="327" t="s">
        <v>515</v>
      </c>
      <c r="AE1004" s="133">
        <v>895</v>
      </c>
      <c r="AF1004" s="133" t="s">
        <v>515</v>
      </c>
      <c r="AG1004" s="133">
        <v>905</v>
      </c>
      <c r="AH1004" s="327" t="s">
        <v>515</v>
      </c>
      <c r="AI1004" s="133">
        <v>1605</v>
      </c>
      <c r="AJ1004" s="133" t="s">
        <v>515</v>
      </c>
      <c r="AK1004" s="133">
        <v>1676</v>
      </c>
      <c r="AL1004" s="327" t="s">
        <v>515</v>
      </c>
      <c r="AM1004" s="327">
        <f t="shared" si="25"/>
        <v>13335</v>
      </c>
    </row>
    <row r="1005" spans="1:39" ht="18" customHeight="1" x14ac:dyDescent="0.3">
      <c r="A1005" s="424">
        <f t="shared" si="24"/>
        <v>684</v>
      </c>
      <c r="B1005" s="422" t="s">
        <v>1527</v>
      </c>
      <c r="C1005" s="11" t="s">
        <v>268</v>
      </c>
      <c r="D1005" s="11" t="s">
        <v>1736</v>
      </c>
      <c r="E1005" s="31" t="s">
        <v>144</v>
      </c>
      <c r="F1005" s="23" t="s">
        <v>49</v>
      </c>
      <c r="G1005" s="426" t="s">
        <v>1737</v>
      </c>
      <c r="H1005" s="133">
        <v>190</v>
      </c>
      <c r="I1005" s="158" t="s">
        <v>1738</v>
      </c>
      <c r="J1005" s="133">
        <v>8</v>
      </c>
      <c r="K1005" s="132" t="s">
        <v>218</v>
      </c>
      <c r="L1005" s="132" t="s">
        <v>218</v>
      </c>
      <c r="M1005" s="12">
        <v>28861</v>
      </c>
      <c r="N1005" s="133">
        <v>24412</v>
      </c>
      <c r="O1005" s="372">
        <v>2320</v>
      </c>
      <c r="P1005" s="327" t="s">
        <v>515</v>
      </c>
      <c r="Q1005" s="133">
        <v>2665</v>
      </c>
      <c r="R1005" s="327" t="s">
        <v>515</v>
      </c>
      <c r="S1005" s="133">
        <v>2058</v>
      </c>
      <c r="T1005" s="327" t="s">
        <v>515</v>
      </c>
      <c r="U1005" s="133">
        <v>2797</v>
      </c>
      <c r="V1005" s="327" t="s">
        <v>515</v>
      </c>
      <c r="W1005" s="133">
        <v>2265</v>
      </c>
      <c r="X1005" s="133" t="s">
        <v>515</v>
      </c>
      <c r="Y1005" s="133">
        <v>2104</v>
      </c>
      <c r="Z1005" s="327" t="s">
        <v>515</v>
      </c>
      <c r="AA1005" s="133">
        <v>2599</v>
      </c>
      <c r="AB1005" s="133" t="s">
        <v>515</v>
      </c>
      <c r="AC1005" s="133">
        <v>2070</v>
      </c>
      <c r="AD1005" s="327" t="s">
        <v>515</v>
      </c>
      <c r="AE1005" s="133">
        <v>2071</v>
      </c>
      <c r="AF1005" s="133" t="s">
        <v>515</v>
      </c>
      <c r="AG1005" s="133">
        <v>1296</v>
      </c>
      <c r="AH1005" s="327" t="s">
        <v>515</v>
      </c>
      <c r="AI1005" s="133">
        <v>275</v>
      </c>
      <c r="AJ1005" s="133" t="s">
        <v>515</v>
      </c>
      <c r="AK1005" s="133">
        <v>1892</v>
      </c>
      <c r="AL1005" s="327" t="s">
        <v>515</v>
      </c>
      <c r="AM1005" s="327">
        <f t="shared" si="25"/>
        <v>24412</v>
      </c>
    </row>
    <row r="1006" spans="1:39" ht="18" customHeight="1" x14ac:dyDescent="0.3">
      <c r="A1006" s="425"/>
      <c r="B1006" s="423"/>
      <c r="C1006" s="11" t="s">
        <v>268</v>
      </c>
      <c r="D1006" s="11" t="s">
        <v>1736</v>
      </c>
      <c r="E1006" s="31" t="s">
        <v>48</v>
      </c>
      <c r="F1006" s="23" t="s">
        <v>49</v>
      </c>
      <c r="G1006" s="427"/>
      <c r="H1006" s="133"/>
      <c r="I1006" s="158" t="s">
        <v>1738</v>
      </c>
      <c r="J1006" s="133"/>
      <c r="K1006" s="132" t="s">
        <v>218</v>
      </c>
      <c r="L1006" s="132" t="s">
        <v>218</v>
      </c>
      <c r="M1006" s="12">
        <v>22273</v>
      </c>
      <c r="N1006" s="133">
        <v>28703</v>
      </c>
      <c r="O1006" s="372">
        <v>3419</v>
      </c>
      <c r="P1006" s="327" t="s">
        <v>515</v>
      </c>
      <c r="Q1006" s="133">
        <v>2358</v>
      </c>
      <c r="R1006" s="327" t="s">
        <v>515</v>
      </c>
      <c r="S1006" s="133">
        <v>2965</v>
      </c>
      <c r="T1006" s="327" t="s">
        <v>515</v>
      </c>
      <c r="U1006" s="133">
        <v>842</v>
      </c>
      <c r="V1006" s="327" t="s">
        <v>515</v>
      </c>
      <c r="W1006" s="133">
        <v>1570</v>
      </c>
      <c r="X1006" s="133" t="s">
        <v>515</v>
      </c>
      <c r="Y1006" s="133">
        <v>1214</v>
      </c>
      <c r="Z1006" s="327" t="s">
        <v>515</v>
      </c>
      <c r="AA1006" s="133">
        <v>1538</v>
      </c>
      <c r="AB1006" s="133" t="s">
        <v>515</v>
      </c>
      <c r="AC1006" s="133">
        <v>1344</v>
      </c>
      <c r="AD1006" s="327" t="s">
        <v>515</v>
      </c>
      <c r="AE1006" s="133">
        <v>2302</v>
      </c>
      <c r="AF1006" s="133" t="s">
        <v>515</v>
      </c>
      <c r="AG1006" s="133">
        <v>944</v>
      </c>
      <c r="AH1006" s="327" t="s">
        <v>515</v>
      </c>
      <c r="AI1006" s="133">
        <v>5529</v>
      </c>
      <c r="AJ1006" s="133" t="s">
        <v>515</v>
      </c>
      <c r="AK1006" s="133">
        <v>2336</v>
      </c>
      <c r="AL1006" s="327" t="s">
        <v>515</v>
      </c>
      <c r="AM1006" s="327">
        <f t="shared" si="25"/>
        <v>26361</v>
      </c>
    </row>
    <row r="1007" spans="1:39" ht="18" customHeight="1" x14ac:dyDescent="0.3">
      <c r="A1007" s="424">
        <f t="shared" si="24"/>
        <v>685</v>
      </c>
      <c r="B1007" s="422" t="s">
        <v>1528</v>
      </c>
      <c r="C1007" s="11" t="s">
        <v>268</v>
      </c>
      <c r="D1007" s="11" t="s">
        <v>1736</v>
      </c>
      <c r="E1007" s="31" t="s">
        <v>144</v>
      </c>
      <c r="F1007" s="23" t="s">
        <v>49</v>
      </c>
      <c r="G1007" s="426" t="s">
        <v>1737</v>
      </c>
      <c r="H1007" s="133">
        <v>190</v>
      </c>
      <c r="I1007" s="158" t="s">
        <v>1738</v>
      </c>
      <c r="J1007" s="133">
        <v>8</v>
      </c>
      <c r="K1007" s="132" t="s">
        <v>218</v>
      </c>
      <c r="L1007" s="132" t="s">
        <v>218</v>
      </c>
      <c r="M1007" s="12">
        <v>27205</v>
      </c>
      <c r="N1007" s="133">
        <v>33210</v>
      </c>
      <c r="O1007" s="372">
        <v>2900</v>
      </c>
      <c r="P1007" s="327" t="s">
        <v>515</v>
      </c>
      <c r="Q1007" s="133">
        <v>2980</v>
      </c>
      <c r="R1007" s="327" t="s">
        <v>515</v>
      </c>
      <c r="S1007" s="133">
        <v>2910</v>
      </c>
      <c r="T1007" s="327" t="s">
        <v>515</v>
      </c>
      <c r="U1007" s="133">
        <v>3370</v>
      </c>
      <c r="V1007" s="327" t="s">
        <v>515</v>
      </c>
      <c r="W1007" s="133">
        <v>2710</v>
      </c>
      <c r="X1007" s="133" t="s">
        <v>515</v>
      </c>
      <c r="Y1007" s="133">
        <v>3000</v>
      </c>
      <c r="Z1007" s="327" t="s">
        <v>515</v>
      </c>
      <c r="AA1007" s="133">
        <v>2540</v>
      </c>
      <c r="AB1007" s="133" t="s">
        <v>515</v>
      </c>
      <c r="AC1007" s="133">
        <v>2550</v>
      </c>
      <c r="AD1007" s="327" t="s">
        <v>515</v>
      </c>
      <c r="AE1007" s="133">
        <v>3210</v>
      </c>
      <c r="AF1007" s="133" t="s">
        <v>515</v>
      </c>
      <c r="AG1007" s="133">
        <v>1060</v>
      </c>
      <c r="AH1007" s="327" t="s">
        <v>515</v>
      </c>
      <c r="AI1007" s="133">
        <v>4495</v>
      </c>
      <c r="AJ1007" s="133" t="s">
        <v>515</v>
      </c>
      <c r="AK1007" s="133">
        <v>1485</v>
      </c>
      <c r="AL1007" s="327" t="s">
        <v>515</v>
      </c>
      <c r="AM1007" s="327">
        <f t="shared" si="25"/>
        <v>33210</v>
      </c>
    </row>
    <row r="1008" spans="1:39" ht="18" customHeight="1" x14ac:dyDescent="0.3">
      <c r="A1008" s="425"/>
      <c r="B1008" s="423"/>
      <c r="C1008" s="11" t="s">
        <v>268</v>
      </c>
      <c r="D1008" s="11" t="s">
        <v>1736</v>
      </c>
      <c r="E1008" s="31" t="s">
        <v>48</v>
      </c>
      <c r="F1008" s="23" t="s">
        <v>49</v>
      </c>
      <c r="G1008" s="427"/>
      <c r="H1008" s="133"/>
      <c r="I1008" s="158" t="s">
        <v>1738</v>
      </c>
      <c r="J1008" s="133"/>
      <c r="K1008" s="132" t="s">
        <v>218</v>
      </c>
      <c r="L1008" s="132" t="s">
        <v>218</v>
      </c>
      <c r="M1008" s="12">
        <v>26968</v>
      </c>
      <c r="N1008" s="133">
        <v>25042</v>
      </c>
      <c r="O1008" s="372">
        <v>3228</v>
      </c>
      <c r="P1008" s="327" t="s">
        <v>515</v>
      </c>
      <c r="Q1008" s="133">
        <v>1680</v>
      </c>
      <c r="R1008" s="327" t="s">
        <v>515</v>
      </c>
      <c r="S1008" s="133">
        <v>1750</v>
      </c>
      <c r="T1008" s="327" t="s">
        <v>515</v>
      </c>
      <c r="U1008" s="133">
        <v>541</v>
      </c>
      <c r="V1008" s="327" t="s">
        <v>515</v>
      </c>
      <c r="W1008" s="133">
        <v>1543</v>
      </c>
      <c r="X1008" s="133" t="s">
        <v>515</v>
      </c>
      <c r="Y1008" s="133">
        <v>1317</v>
      </c>
      <c r="Z1008" s="327" t="s">
        <v>515</v>
      </c>
      <c r="AA1008" s="133">
        <v>1031</v>
      </c>
      <c r="AB1008" s="133" t="s">
        <v>515</v>
      </c>
      <c r="AC1008" s="133">
        <v>1084</v>
      </c>
      <c r="AD1008" s="327" t="s">
        <v>515</v>
      </c>
      <c r="AE1008" s="133">
        <v>1957</v>
      </c>
      <c r="AF1008" s="133" t="s">
        <v>515</v>
      </c>
      <c r="AG1008" s="133">
        <v>846</v>
      </c>
      <c r="AH1008" s="327" t="s">
        <v>515</v>
      </c>
      <c r="AI1008" s="133">
        <v>2475</v>
      </c>
      <c r="AJ1008" s="133" t="s">
        <v>515</v>
      </c>
      <c r="AK1008" s="133">
        <v>3090</v>
      </c>
      <c r="AL1008" s="327" t="s">
        <v>515</v>
      </c>
      <c r="AM1008" s="327">
        <f t="shared" si="25"/>
        <v>20542</v>
      </c>
    </row>
    <row r="1009" spans="1:39" ht="18" customHeight="1" x14ac:dyDescent="0.3">
      <c r="A1009" s="424">
        <f t="shared" si="24"/>
        <v>686</v>
      </c>
      <c r="B1009" s="422" t="s">
        <v>1529</v>
      </c>
      <c r="C1009" s="11" t="s">
        <v>268</v>
      </c>
      <c r="D1009" s="11" t="s">
        <v>1736</v>
      </c>
      <c r="E1009" s="31" t="s">
        <v>144</v>
      </c>
      <c r="F1009" s="23" t="s">
        <v>49</v>
      </c>
      <c r="G1009" s="428" t="s">
        <v>336</v>
      </c>
      <c r="H1009" s="133">
        <v>170</v>
      </c>
      <c r="I1009" s="158" t="s">
        <v>1738</v>
      </c>
      <c r="J1009" s="133">
        <v>5</v>
      </c>
      <c r="K1009" s="132" t="s">
        <v>218</v>
      </c>
      <c r="L1009" s="132" t="s">
        <v>218</v>
      </c>
      <c r="M1009" s="12">
        <v>22440</v>
      </c>
      <c r="N1009" s="133">
        <v>21640</v>
      </c>
      <c r="O1009" s="372">
        <v>1810</v>
      </c>
      <c r="P1009" s="327" t="s">
        <v>515</v>
      </c>
      <c r="Q1009" s="133">
        <v>1920</v>
      </c>
      <c r="R1009" s="327" t="s">
        <v>515</v>
      </c>
      <c r="S1009" s="133">
        <v>1740</v>
      </c>
      <c r="T1009" s="327" t="s">
        <v>515</v>
      </c>
      <c r="U1009" s="133">
        <v>2110</v>
      </c>
      <c r="V1009" s="327" t="s">
        <v>515</v>
      </c>
      <c r="W1009" s="133">
        <v>1780</v>
      </c>
      <c r="X1009" s="133" t="s">
        <v>515</v>
      </c>
      <c r="Y1009" s="133">
        <v>1830</v>
      </c>
      <c r="Z1009" s="327" t="s">
        <v>515</v>
      </c>
      <c r="AA1009" s="133">
        <v>1640</v>
      </c>
      <c r="AB1009" s="133" t="s">
        <v>515</v>
      </c>
      <c r="AC1009" s="133">
        <v>1490</v>
      </c>
      <c r="AD1009" s="327" t="s">
        <v>515</v>
      </c>
      <c r="AE1009" s="133">
        <v>1820</v>
      </c>
      <c r="AF1009" s="133" t="s">
        <v>515</v>
      </c>
      <c r="AG1009" s="133">
        <v>2020</v>
      </c>
      <c r="AH1009" s="327" t="s">
        <v>515</v>
      </c>
      <c r="AI1009" s="133">
        <v>1770</v>
      </c>
      <c r="AJ1009" s="133" t="s">
        <v>515</v>
      </c>
      <c r="AK1009" s="133">
        <v>1710</v>
      </c>
      <c r="AL1009" s="327" t="s">
        <v>515</v>
      </c>
      <c r="AM1009" s="327">
        <f t="shared" si="25"/>
        <v>21640</v>
      </c>
    </row>
    <row r="1010" spans="1:39" ht="18" customHeight="1" x14ac:dyDescent="0.3">
      <c r="A1010" s="425"/>
      <c r="B1010" s="423"/>
      <c r="C1010" s="11" t="s">
        <v>268</v>
      </c>
      <c r="D1010" s="11" t="s">
        <v>1736</v>
      </c>
      <c r="E1010" s="31" t="s">
        <v>48</v>
      </c>
      <c r="F1010" s="23" t="s">
        <v>49</v>
      </c>
      <c r="G1010" s="429"/>
      <c r="H1010" s="133"/>
      <c r="I1010" s="158" t="s">
        <v>1738</v>
      </c>
      <c r="J1010" s="133"/>
      <c r="K1010" s="132" t="s">
        <v>218</v>
      </c>
      <c r="L1010" s="132" t="s">
        <v>218</v>
      </c>
      <c r="M1010" s="12">
        <v>34425</v>
      </c>
      <c r="N1010" s="133">
        <v>33556</v>
      </c>
      <c r="O1010" s="372">
        <v>3230</v>
      </c>
      <c r="P1010" s="327" t="s">
        <v>515</v>
      </c>
      <c r="Q1010" s="133">
        <v>2957</v>
      </c>
      <c r="R1010" s="327" t="s">
        <v>515</v>
      </c>
      <c r="S1010" s="133">
        <v>3137</v>
      </c>
      <c r="T1010" s="327" t="s">
        <v>515</v>
      </c>
      <c r="U1010" s="133">
        <v>2371</v>
      </c>
      <c r="V1010" s="327" t="s">
        <v>515</v>
      </c>
      <c r="W1010" s="133">
        <v>2426</v>
      </c>
      <c r="X1010" s="133" t="s">
        <v>515</v>
      </c>
      <c r="Y1010" s="133">
        <v>2668</v>
      </c>
      <c r="Z1010" s="327" t="s">
        <v>515</v>
      </c>
      <c r="AA1010" s="133">
        <v>2314</v>
      </c>
      <c r="AB1010" s="133" t="s">
        <v>515</v>
      </c>
      <c r="AC1010" s="133">
        <v>1919</v>
      </c>
      <c r="AD1010" s="327" t="s">
        <v>515</v>
      </c>
      <c r="AE1010" s="133">
        <v>2945</v>
      </c>
      <c r="AF1010" s="133" t="s">
        <v>515</v>
      </c>
      <c r="AG1010" s="133">
        <v>2947</v>
      </c>
      <c r="AH1010" s="327" t="s">
        <v>515</v>
      </c>
      <c r="AI1010" s="133">
        <v>3204</v>
      </c>
      <c r="AJ1010" s="133" t="s">
        <v>515</v>
      </c>
      <c r="AK1010" s="133">
        <v>2958</v>
      </c>
      <c r="AL1010" s="327" t="s">
        <v>515</v>
      </c>
      <c r="AM1010" s="327">
        <f t="shared" si="25"/>
        <v>33076</v>
      </c>
    </row>
    <row r="1011" spans="1:39" ht="18" customHeight="1" x14ac:dyDescent="0.3">
      <c r="A1011" s="424">
        <f t="shared" si="24"/>
        <v>687</v>
      </c>
      <c r="B1011" s="422" t="s">
        <v>1530</v>
      </c>
      <c r="C1011" s="11" t="s">
        <v>268</v>
      </c>
      <c r="D1011" s="11" t="s">
        <v>1736</v>
      </c>
      <c r="E1011" s="31" t="s">
        <v>144</v>
      </c>
      <c r="F1011" s="23" t="s">
        <v>49</v>
      </c>
      <c r="G1011" s="426" t="s">
        <v>1737</v>
      </c>
      <c r="H1011" s="133">
        <v>190</v>
      </c>
      <c r="I1011" s="158" t="s">
        <v>1738</v>
      </c>
      <c r="J1011" s="133">
        <v>8</v>
      </c>
      <c r="K1011" s="132" t="s">
        <v>218</v>
      </c>
      <c r="L1011" s="132" t="s">
        <v>218</v>
      </c>
      <c r="M1011" s="12">
        <v>22470</v>
      </c>
      <c r="N1011" s="133">
        <v>21157</v>
      </c>
      <c r="O1011" s="372">
        <v>1900</v>
      </c>
      <c r="P1011" s="327" t="s">
        <v>515</v>
      </c>
      <c r="Q1011" s="133">
        <v>2030</v>
      </c>
      <c r="R1011" s="327" t="s">
        <v>515</v>
      </c>
      <c r="S1011" s="133">
        <v>1880</v>
      </c>
      <c r="T1011" s="327" t="s">
        <v>515</v>
      </c>
      <c r="U1011" s="133">
        <v>2250</v>
      </c>
      <c r="V1011" s="327" t="s">
        <v>515</v>
      </c>
      <c r="W1011" s="133">
        <v>1870</v>
      </c>
      <c r="X1011" s="133" t="s">
        <v>515</v>
      </c>
      <c r="Y1011" s="133">
        <v>1940</v>
      </c>
      <c r="Z1011" s="327" t="s">
        <v>515</v>
      </c>
      <c r="AA1011" s="133">
        <v>1700</v>
      </c>
      <c r="AB1011" s="133" t="s">
        <v>515</v>
      </c>
      <c r="AC1011" s="133">
        <v>1730</v>
      </c>
      <c r="AD1011" s="327" t="s">
        <v>515</v>
      </c>
      <c r="AE1011" s="133">
        <v>1850</v>
      </c>
      <c r="AF1011" s="133" t="s">
        <v>515</v>
      </c>
      <c r="AG1011" s="133">
        <v>2110</v>
      </c>
      <c r="AH1011" s="327" t="s">
        <v>515</v>
      </c>
      <c r="AI1011" s="133">
        <v>0</v>
      </c>
      <c r="AJ1011" s="133" t="s">
        <v>515</v>
      </c>
      <c r="AK1011" s="133">
        <v>1897</v>
      </c>
      <c r="AL1011" s="327" t="s">
        <v>515</v>
      </c>
      <c r="AM1011" s="327">
        <f t="shared" si="25"/>
        <v>21157</v>
      </c>
    </row>
    <row r="1012" spans="1:39" ht="18" customHeight="1" x14ac:dyDescent="0.3">
      <c r="A1012" s="425"/>
      <c r="B1012" s="423"/>
      <c r="C1012" s="11" t="s">
        <v>268</v>
      </c>
      <c r="D1012" s="11" t="s">
        <v>1736</v>
      </c>
      <c r="E1012" s="31" t="s">
        <v>48</v>
      </c>
      <c r="F1012" s="23" t="s">
        <v>49</v>
      </c>
      <c r="G1012" s="427"/>
      <c r="H1012" s="133"/>
      <c r="I1012" s="158" t="s">
        <v>1738</v>
      </c>
      <c r="J1012" s="133"/>
      <c r="K1012" s="132" t="s">
        <v>218</v>
      </c>
      <c r="L1012" s="132" t="s">
        <v>218</v>
      </c>
      <c r="M1012" s="12">
        <v>23689</v>
      </c>
      <c r="N1012" s="133">
        <v>23550</v>
      </c>
      <c r="O1012" s="372">
        <v>3013</v>
      </c>
      <c r="P1012" s="327" t="s">
        <v>515</v>
      </c>
      <c r="Q1012" s="133">
        <v>1395</v>
      </c>
      <c r="R1012" s="327" t="s">
        <v>515</v>
      </c>
      <c r="S1012" s="133">
        <v>1545</v>
      </c>
      <c r="T1012" s="327" t="s">
        <v>515</v>
      </c>
      <c r="U1012" s="133">
        <v>125</v>
      </c>
      <c r="V1012" s="327" t="s">
        <v>515</v>
      </c>
      <c r="W1012" s="133">
        <v>1496</v>
      </c>
      <c r="X1012" s="133" t="s">
        <v>515</v>
      </c>
      <c r="Y1012" s="133">
        <v>1702</v>
      </c>
      <c r="Z1012" s="327" t="s">
        <v>515</v>
      </c>
      <c r="AA1012" s="133">
        <v>1047</v>
      </c>
      <c r="AB1012" s="133" t="s">
        <v>515</v>
      </c>
      <c r="AC1012" s="133">
        <v>1678</v>
      </c>
      <c r="AD1012" s="327" t="s">
        <v>515</v>
      </c>
      <c r="AE1012" s="133">
        <v>1943</v>
      </c>
      <c r="AF1012" s="133" t="s">
        <v>515</v>
      </c>
      <c r="AG1012" s="133">
        <v>2524</v>
      </c>
      <c r="AH1012" s="327" t="s">
        <v>515</v>
      </c>
      <c r="AI1012" s="133">
        <v>0</v>
      </c>
      <c r="AJ1012" s="133" t="s">
        <v>515</v>
      </c>
      <c r="AK1012" s="133">
        <v>2048</v>
      </c>
      <c r="AL1012" s="327" t="s">
        <v>515</v>
      </c>
      <c r="AM1012" s="327">
        <f t="shared" si="25"/>
        <v>18516</v>
      </c>
    </row>
    <row r="1013" spans="1:39" ht="18" customHeight="1" x14ac:dyDescent="0.3">
      <c r="A1013" s="424">
        <f t="shared" si="24"/>
        <v>688</v>
      </c>
      <c r="B1013" s="422" t="s">
        <v>1531</v>
      </c>
      <c r="C1013" s="11" t="s">
        <v>268</v>
      </c>
      <c r="D1013" s="11" t="s">
        <v>1736</v>
      </c>
      <c r="E1013" s="31" t="s">
        <v>144</v>
      </c>
      <c r="F1013" s="23" t="s">
        <v>49</v>
      </c>
      <c r="G1013" s="426" t="s">
        <v>1737</v>
      </c>
      <c r="H1013" s="133">
        <v>210</v>
      </c>
      <c r="I1013" s="158" t="s">
        <v>1738</v>
      </c>
      <c r="J1013" s="133">
        <v>0</v>
      </c>
      <c r="K1013" s="132" t="s">
        <v>218</v>
      </c>
      <c r="L1013" s="132" t="s">
        <v>218</v>
      </c>
      <c r="M1013" s="12">
        <v>17121</v>
      </c>
      <c r="N1013" s="133">
        <v>16677</v>
      </c>
      <c r="O1013" s="372">
        <v>1438</v>
      </c>
      <c r="P1013" s="327" t="s">
        <v>515</v>
      </c>
      <c r="Q1013" s="133">
        <v>1781</v>
      </c>
      <c r="R1013" s="327" t="s">
        <v>515</v>
      </c>
      <c r="S1013" s="133">
        <v>1511</v>
      </c>
      <c r="T1013" s="327" t="s">
        <v>515</v>
      </c>
      <c r="U1013" s="133">
        <v>1667</v>
      </c>
      <c r="V1013" s="327" t="s">
        <v>515</v>
      </c>
      <c r="W1013" s="133">
        <v>1281</v>
      </c>
      <c r="X1013" s="133" t="s">
        <v>515</v>
      </c>
      <c r="Y1013" s="133">
        <v>1257</v>
      </c>
      <c r="Z1013" s="327" t="s">
        <v>515</v>
      </c>
      <c r="AA1013" s="133">
        <v>386</v>
      </c>
      <c r="AB1013" s="133" t="s">
        <v>515</v>
      </c>
      <c r="AC1013" s="133">
        <v>1315</v>
      </c>
      <c r="AD1013" s="327" t="s">
        <v>515</v>
      </c>
      <c r="AE1013" s="133">
        <v>1379</v>
      </c>
      <c r="AF1013" s="133" t="s">
        <v>515</v>
      </c>
      <c r="AG1013" s="133">
        <v>1805</v>
      </c>
      <c r="AH1013" s="327" t="s">
        <v>515</v>
      </c>
      <c r="AI1013" s="133">
        <v>1455</v>
      </c>
      <c r="AJ1013" s="133" t="s">
        <v>515</v>
      </c>
      <c r="AK1013" s="133">
        <v>1402</v>
      </c>
      <c r="AL1013" s="327" t="s">
        <v>515</v>
      </c>
      <c r="AM1013" s="327">
        <f t="shared" si="25"/>
        <v>16677</v>
      </c>
    </row>
    <row r="1014" spans="1:39" ht="18" customHeight="1" x14ac:dyDescent="0.3">
      <c r="A1014" s="425"/>
      <c r="B1014" s="423"/>
      <c r="C1014" s="11" t="s">
        <v>268</v>
      </c>
      <c r="D1014" s="11" t="s">
        <v>1736</v>
      </c>
      <c r="E1014" s="31" t="s">
        <v>48</v>
      </c>
      <c r="F1014" s="23" t="s">
        <v>49</v>
      </c>
      <c r="G1014" s="427"/>
      <c r="H1014" s="133"/>
      <c r="I1014" s="158" t="s">
        <v>1738</v>
      </c>
      <c r="J1014" s="133"/>
      <c r="K1014" s="132" t="s">
        <v>218</v>
      </c>
      <c r="L1014" s="132" t="s">
        <v>218</v>
      </c>
      <c r="M1014" s="12">
        <v>27537</v>
      </c>
      <c r="N1014" s="133">
        <v>25311</v>
      </c>
      <c r="O1014" s="372">
        <v>2247</v>
      </c>
      <c r="P1014" s="327" t="s">
        <v>515</v>
      </c>
      <c r="Q1014" s="133">
        <v>1702</v>
      </c>
      <c r="R1014" s="327" t="s">
        <v>515</v>
      </c>
      <c r="S1014" s="133">
        <v>1972</v>
      </c>
      <c r="T1014" s="327" t="s">
        <v>515</v>
      </c>
      <c r="U1014" s="133">
        <v>1316</v>
      </c>
      <c r="V1014" s="327" t="s">
        <v>515</v>
      </c>
      <c r="W1014" s="133">
        <v>1569</v>
      </c>
      <c r="X1014" s="133" t="s">
        <v>515</v>
      </c>
      <c r="Y1014" s="133">
        <v>1792</v>
      </c>
      <c r="Z1014" s="327" t="s">
        <v>515</v>
      </c>
      <c r="AA1014" s="133">
        <v>2985</v>
      </c>
      <c r="AB1014" s="133" t="s">
        <v>515</v>
      </c>
      <c r="AC1014" s="133">
        <v>1912</v>
      </c>
      <c r="AD1014" s="327" t="s">
        <v>515</v>
      </c>
      <c r="AE1014" s="133">
        <v>1661</v>
      </c>
      <c r="AF1014" s="133" t="s">
        <v>515</v>
      </c>
      <c r="AG1014" s="133">
        <v>2288</v>
      </c>
      <c r="AH1014" s="327" t="s">
        <v>515</v>
      </c>
      <c r="AI1014" s="133">
        <v>2008</v>
      </c>
      <c r="AJ1014" s="133" t="s">
        <v>515</v>
      </c>
      <c r="AK1014" s="133">
        <v>1829</v>
      </c>
      <c r="AL1014" s="327" t="s">
        <v>515</v>
      </c>
      <c r="AM1014" s="327">
        <f t="shared" si="25"/>
        <v>23281</v>
      </c>
    </row>
    <row r="1015" spans="1:39" ht="18" customHeight="1" x14ac:dyDescent="0.3">
      <c r="A1015" s="424">
        <f t="shared" si="24"/>
        <v>689</v>
      </c>
      <c r="B1015" s="422" t="s">
        <v>1532</v>
      </c>
      <c r="C1015" s="11" t="s">
        <v>268</v>
      </c>
      <c r="D1015" s="11" t="s">
        <v>1736</v>
      </c>
      <c r="E1015" s="31" t="s">
        <v>144</v>
      </c>
      <c r="F1015" s="23" t="s">
        <v>49</v>
      </c>
      <c r="G1015" s="426" t="s">
        <v>1737</v>
      </c>
      <c r="H1015" s="133">
        <v>210</v>
      </c>
      <c r="I1015" s="158" t="s">
        <v>1738</v>
      </c>
      <c r="J1015" s="133">
        <v>0</v>
      </c>
      <c r="K1015" s="132" t="s">
        <v>218</v>
      </c>
      <c r="L1015" s="132" t="s">
        <v>218</v>
      </c>
      <c r="M1015" s="12">
        <v>26620</v>
      </c>
      <c r="N1015" s="133">
        <v>24726</v>
      </c>
      <c r="O1015" s="372">
        <v>2020</v>
      </c>
      <c r="P1015" s="327" t="s">
        <v>515</v>
      </c>
      <c r="Q1015" s="133">
        <v>2680</v>
      </c>
      <c r="R1015" s="327" t="s">
        <v>515</v>
      </c>
      <c r="S1015" s="133">
        <v>2320</v>
      </c>
      <c r="T1015" s="327" t="s">
        <v>515</v>
      </c>
      <c r="U1015" s="133">
        <v>2580</v>
      </c>
      <c r="V1015" s="327" t="s">
        <v>515</v>
      </c>
      <c r="W1015" s="133">
        <v>2060</v>
      </c>
      <c r="X1015" s="133" t="s">
        <v>515</v>
      </c>
      <c r="Y1015" s="133">
        <v>2140</v>
      </c>
      <c r="Z1015" s="327" t="s">
        <v>515</v>
      </c>
      <c r="AA1015" s="133">
        <v>2260</v>
      </c>
      <c r="AB1015" s="133" t="s">
        <v>515</v>
      </c>
      <c r="AC1015" s="133">
        <v>1980</v>
      </c>
      <c r="AD1015" s="327" t="s">
        <v>515</v>
      </c>
      <c r="AE1015" s="133">
        <v>2080</v>
      </c>
      <c r="AF1015" s="133" t="s">
        <v>515</v>
      </c>
      <c r="AG1015" s="133">
        <v>2440</v>
      </c>
      <c r="AH1015" s="327" t="s">
        <v>515</v>
      </c>
      <c r="AI1015" s="133">
        <v>0</v>
      </c>
      <c r="AJ1015" s="133" t="s">
        <v>515</v>
      </c>
      <c r="AK1015" s="133">
        <v>2166</v>
      </c>
      <c r="AL1015" s="327" t="s">
        <v>515</v>
      </c>
      <c r="AM1015" s="327">
        <f t="shared" si="25"/>
        <v>24726</v>
      </c>
    </row>
    <row r="1016" spans="1:39" ht="18" customHeight="1" x14ac:dyDescent="0.3">
      <c r="A1016" s="425"/>
      <c r="B1016" s="423"/>
      <c r="C1016" s="11" t="s">
        <v>268</v>
      </c>
      <c r="D1016" s="11" t="s">
        <v>1736</v>
      </c>
      <c r="E1016" s="31" t="s">
        <v>48</v>
      </c>
      <c r="F1016" s="23" t="s">
        <v>49</v>
      </c>
      <c r="G1016" s="427"/>
      <c r="H1016" s="133"/>
      <c r="I1016" s="158" t="s">
        <v>1738</v>
      </c>
      <c r="J1016" s="133"/>
      <c r="K1016" s="132" t="s">
        <v>218</v>
      </c>
      <c r="L1016" s="132" t="s">
        <v>218</v>
      </c>
      <c r="M1016" s="12">
        <v>66570</v>
      </c>
      <c r="N1016" s="133">
        <v>55737</v>
      </c>
      <c r="O1016" s="372">
        <v>5110</v>
      </c>
      <c r="P1016" s="327" t="s">
        <v>515</v>
      </c>
      <c r="Q1016" s="133">
        <v>460</v>
      </c>
      <c r="R1016" s="327" t="s">
        <v>515</v>
      </c>
      <c r="S1016" s="133">
        <v>-100</v>
      </c>
      <c r="T1016" s="327" t="s">
        <v>515</v>
      </c>
      <c r="U1016" s="133">
        <v>2350</v>
      </c>
      <c r="V1016" s="327" t="s">
        <v>515</v>
      </c>
      <c r="W1016" s="133">
        <v>4260</v>
      </c>
      <c r="X1016" s="133" t="s">
        <v>515</v>
      </c>
      <c r="Y1016" s="133">
        <v>3950</v>
      </c>
      <c r="Z1016" s="327" t="s">
        <v>515</v>
      </c>
      <c r="AA1016" s="133">
        <v>4660</v>
      </c>
      <c r="AB1016" s="133" t="s">
        <v>515</v>
      </c>
      <c r="AC1016" s="133">
        <v>4280</v>
      </c>
      <c r="AD1016" s="327" t="s">
        <v>515</v>
      </c>
      <c r="AE1016" s="133">
        <v>4210</v>
      </c>
      <c r="AF1016" s="133" t="s">
        <v>515</v>
      </c>
      <c r="AG1016" s="133">
        <v>5210</v>
      </c>
      <c r="AH1016" s="327" t="s">
        <v>515</v>
      </c>
      <c r="AI1016" s="133">
        <v>0</v>
      </c>
      <c r="AJ1016" s="133" t="s">
        <v>515</v>
      </c>
      <c r="AK1016" s="133">
        <v>4567</v>
      </c>
      <c r="AL1016" s="327" t="s">
        <v>515</v>
      </c>
      <c r="AM1016" s="327">
        <f t="shared" si="25"/>
        <v>38957</v>
      </c>
    </row>
    <row r="1017" spans="1:39" ht="18" customHeight="1" x14ac:dyDescent="0.3">
      <c r="A1017" s="424">
        <f t="shared" ref="A1017:A1079" si="26">A1015+1</f>
        <v>690</v>
      </c>
      <c r="B1017" s="422" t="s">
        <v>1533</v>
      </c>
      <c r="C1017" s="11" t="s">
        <v>268</v>
      </c>
      <c r="D1017" s="11" t="s">
        <v>1736</v>
      </c>
      <c r="E1017" s="31" t="s">
        <v>144</v>
      </c>
      <c r="F1017" s="23" t="s">
        <v>49</v>
      </c>
      <c r="G1017" s="428" t="s">
        <v>336</v>
      </c>
      <c r="H1017" s="133">
        <v>362</v>
      </c>
      <c r="I1017" s="158" t="s">
        <v>1738</v>
      </c>
      <c r="J1017" s="133">
        <v>8</v>
      </c>
      <c r="K1017" s="132" t="s">
        <v>218</v>
      </c>
      <c r="L1017" s="132" t="s">
        <v>218</v>
      </c>
      <c r="M1017" s="12">
        <v>23126</v>
      </c>
      <c r="N1017" s="133">
        <v>23918</v>
      </c>
      <c r="O1017" s="372">
        <v>2120</v>
      </c>
      <c r="P1017" s="327" t="s">
        <v>515</v>
      </c>
      <c r="Q1017" s="133">
        <v>2510</v>
      </c>
      <c r="R1017" s="327" t="s">
        <v>515</v>
      </c>
      <c r="S1017" s="133">
        <v>2180</v>
      </c>
      <c r="T1017" s="327" t="s">
        <v>515</v>
      </c>
      <c r="U1017" s="133">
        <v>2480</v>
      </c>
      <c r="V1017" s="327" t="s">
        <v>515</v>
      </c>
      <c r="W1017" s="133">
        <v>1930</v>
      </c>
      <c r="X1017" s="133" t="s">
        <v>515</v>
      </c>
      <c r="Y1017" s="133">
        <v>2010</v>
      </c>
      <c r="Z1017" s="327" t="s">
        <v>515</v>
      </c>
      <c r="AA1017" s="133">
        <v>2210</v>
      </c>
      <c r="AB1017" s="133" t="s">
        <v>515</v>
      </c>
      <c r="AC1017" s="133">
        <v>2340</v>
      </c>
      <c r="AD1017" s="327" t="s">
        <v>515</v>
      </c>
      <c r="AE1017" s="133">
        <v>1580</v>
      </c>
      <c r="AF1017" s="133" t="s">
        <v>515</v>
      </c>
      <c r="AG1017" s="133">
        <v>860</v>
      </c>
      <c r="AH1017" s="327" t="s">
        <v>515</v>
      </c>
      <c r="AI1017" s="133">
        <v>1778</v>
      </c>
      <c r="AJ1017" s="133" t="s">
        <v>515</v>
      </c>
      <c r="AK1017" s="133">
        <v>1920</v>
      </c>
      <c r="AL1017" s="327" t="s">
        <v>515</v>
      </c>
      <c r="AM1017" s="327">
        <f t="shared" si="25"/>
        <v>23918</v>
      </c>
    </row>
    <row r="1018" spans="1:39" ht="18" customHeight="1" x14ac:dyDescent="0.3">
      <c r="A1018" s="425"/>
      <c r="B1018" s="423"/>
      <c r="C1018" s="11" t="s">
        <v>268</v>
      </c>
      <c r="D1018" s="11" t="s">
        <v>1736</v>
      </c>
      <c r="E1018" s="31" t="s">
        <v>48</v>
      </c>
      <c r="F1018" s="23" t="s">
        <v>49</v>
      </c>
      <c r="G1018" s="429"/>
      <c r="H1018" s="133"/>
      <c r="I1018" s="158" t="s">
        <v>1738</v>
      </c>
      <c r="J1018" s="133"/>
      <c r="K1018" s="132" t="s">
        <v>218</v>
      </c>
      <c r="L1018" s="132" t="s">
        <v>218</v>
      </c>
      <c r="M1018" s="12">
        <v>22625</v>
      </c>
      <c r="N1018" s="133">
        <v>27379</v>
      </c>
      <c r="O1018" s="372">
        <v>2981</v>
      </c>
      <c r="P1018" s="327" t="s">
        <v>515</v>
      </c>
      <c r="Q1018" s="133">
        <v>2638</v>
      </c>
      <c r="R1018" s="327" t="s">
        <v>515</v>
      </c>
      <c r="S1018" s="133">
        <v>2968</v>
      </c>
      <c r="T1018" s="327" t="s">
        <v>515</v>
      </c>
      <c r="U1018" s="133">
        <v>1112</v>
      </c>
      <c r="V1018" s="327" t="s">
        <v>515</v>
      </c>
      <c r="W1018" s="133">
        <v>4044</v>
      </c>
      <c r="X1018" s="133" t="s">
        <v>515</v>
      </c>
      <c r="Y1018" s="133">
        <v>1103</v>
      </c>
      <c r="Z1018" s="327" t="s">
        <v>515</v>
      </c>
      <c r="AA1018" s="133">
        <v>1282</v>
      </c>
      <c r="AB1018" s="133" t="s">
        <v>515</v>
      </c>
      <c r="AC1018" s="133">
        <v>1152</v>
      </c>
      <c r="AD1018" s="327" t="s">
        <v>515</v>
      </c>
      <c r="AE1018" s="133">
        <v>1707</v>
      </c>
      <c r="AF1018" s="133" t="s">
        <v>515</v>
      </c>
      <c r="AG1018" s="133">
        <v>1054</v>
      </c>
      <c r="AH1018" s="327" t="s">
        <v>515</v>
      </c>
      <c r="AI1018" s="133">
        <v>2490</v>
      </c>
      <c r="AJ1018" s="133" t="s">
        <v>515</v>
      </c>
      <c r="AK1018" s="133">
        <v>2919</v>
      </c>
      <c r="AL1018" s="327" t="s">
        <v>515</v>
      </c>
      <c r="AM1018" s="327">
        <f t="shared" si="25"/>
        <v>25450</v>
      </c>
    </row>
    <row r="1019" spans="1:39" ht="18" customHeight="1" x14ac:dyDescent="0.3">
      <c r="A1019" s="424">
        <f t="shared" si="26"/>
        <v>691</v>
      </c>
      <c r="B1019" s="422" t="s">
        <v>1534</v>
      </c>
      <c r="C1019" s="11" t="s">
        <v>268</v>
      </c>
      <c r="D1019" s="11" t="s">
        <v>1736</v>
      </c>
      <c r="E1019" s="31" t="s">
        <v>144</v>
      </c>
      <c r="F1019" s="23" t="s">
        <v>49</v>
      </c>
      <c r="G1019" s="426" t="s">
        <v>1737</v>
      </c>
      <c r="H1019" s="133">
        <v>175</v>
      </c>
      <c r="I1019" s="158" t="s">
        <v>1738</v>
      </c>
      <c r="J1019" s="133">
        <v>14</v>
      </c>
      <c r="K1019" s="132" t="s">
        <v>218</v>
      </c>
      <c r="L1019" s="132" t="s">
        <v>218</v>
      </c>
      <c r="M1019" s="12">
        <v>25040</v>
      </c>
      <c r="N1019" s="133">
        <v>23160</v>
      </c>
      <c r="O1019" s="372">
        <v>2420</v>
      </c>
      <c r="P1019" s="327" t="s">
        <v>515</v>
      </c>
      <c r="Q1019" s="133">
        <v>2110</v>
      </c>
      <c r="R1019" s="327" t="s">
        <v>515</v>
      </c>
      <c r="S1019" s="133">
        <v>1940</v>
      </c>
      <c r="T1019" s="327" t="s">
        <v>515</v>
      </c>
      <c r="U1019" s="133">
        <v>2120</v>
      </c>
      <c r="V1019" s="327" t="s">
        <v>515</v>
      </c>
      <c r="W1019" s="133">
        <v>2030</v>
      </c>
      <c r="X1019" s="133" t="s">
        <v>515</v>
      </c>
      <c r="Y1019" s="133">
        <v>2300</v>
      </c>
      <c r="Z1019" s="327" t="s">
        <v>515</v>
      </c>
      <c r="AA1019" s="133">
        <v>2160</v>
      </c>
      <c r="AB1019" s="133" t="s">
        <v>515</v>
      </c>
      <c r="AC1019" s="133">
        <v>1800</v>
      </c>
      <c r="AD1019" s="327" t="s">
        <v>515</v>
      </c>
      <c r="AE1019" s="133">
        <v>2150</v>
      </c>
      <c r="AF1019" s="133" t="s">
        <v>515</v>
      </c>
      <c r="AG1019" s="133">
        <v>2110</v>
      </c>
      <c r="AH1019" s="327" t="s">
        <v>515</v>
      </c>
      <c r="AI1019" s="133">
        <v>0</v>
      </c>
      <c r="AJ1019" s="133" t="s">
        <v>515</v>
      </c>
      <c r="AK1019" s="133">
        <v>2020</v>
      </c>
      <c r="AL1019" s="327" t="s">
        <v>515</v>
      </c>
      <c r="AM1019" s="327">
        <f t="shared" si="25"/>
        <v>23160</v>
      </c>
    </row>
    <row r="1020" spans="1:39" ht="18" customHeight="1" x14ac:dyDescent="0.3">
      <c r="A1020" s="425"/>
      <c r="B1020" s="423"/>
      <c r="C1020" s="11" t="s">
        <v>268</v>
      </c>
      <c r="D1020" s="11" t="s">
        <v>1736</v>
      </c>
      <c r="E1020" s="31" t="s">
        <v>48</v>
      </c>
      <c r="F1020" s="23" t="s">
        <v>49</v>
      </c>
      <c r="G1020" s="427"/>
      <c r="H1020" s="133"/>
      <c r="I1020" s="158" t="s">
        <v>1738</v>
      </c>
      <c r="J1020" s="133"/>
      <c r="K1020" s="132" t="s">
        <v>218</v>
      </c>
      <c r="L1020" s="132" t="s">
        <v>218</v>
      </c>
      <c r="M1020" s="12">
        <v>15738</v>
      </c>
      <c r="N1020" s="133">
        <v>10023</v>
      </c>
      <c r="O1020" s="372">
        <v>1678</v>
      </c>
      <c r="P1020" s="327" t="s">
        <v>515</v>
      </c>
      <c r="Q1020" s="133">
        <v>2174</v>
      </c>
      <c r="R1020" s="327" t="s">
        <v>515</v>
      </c>
      <c r="S1020" s="133">
        <v>2344</v>
      </c>
      <c r="T1020" s="327" t="s">
        <v>515</v>
      </c>
      <c r="U1020" s="133">
        <v>850</v>
      </c>
      <c r="V1020" s="327" t="s">
        <v>515</v>
      </c>
      <c r="W1020" s="133">
        <v>931</v>
      </c>
      <c r="X1020" s="133" t="s">
        <v>515</v>
      </c>
      <c r="Y1020" s="133">
        <v>576</v>
      </c>
      <c r="Z1020" s="327" t="s">
        <v>515</v>
      </c>
      <c r="AA1020" s="133">
        <v>680</v>
      </c>
      <c r="AB1020" s="133" t="s">
        <v>515</v>
      </c>
      <c r="AC1020" s="133">
        <v>536</v>
      </c>
      <c r="AD1020" s="327" t="s">
        <v>515</v>
      </c>
      <c r="AE1020" s="133">
        <v>808</v>
      </c>
      <c r="AF1020" s="133" t="s">
        <v>515</v>
      </c>
      <c r="AG1020" s="133">
        <v>1005</v>
      </c>
      <c r="AH1020" s="327" t="s">
        <v>515</v>
      </c>
      <c r="AI1020" s="133">
        <v>0</v>
      </c>
      <c r="AJ1020" s="133" t="s">
        <v>515</v>
      </c>
      <c r="AK1020" s="133">
        <v>783</v>
      </c>
      <c r="AL1020" s="327" t="s">
        <v>515</v>
      </c>
      <c r="AM1020" s="327">
        <f t="shared" si="25"/>
        <v>12365</v>
      </c>
    </row>
    <row r="1021" spans="1:39" ht="18" customHeight="1" x14ac:dyDescent="0.3">
      <c r="A1021" s="424">
        <f t="shared" si="26"/>
        <v>692</v>
      </c>
      <c r="B1021" s="422" t="s">
        <v>1535</v>
      </c>
      <c r="C1021" s="11" t="s">
        <v>268</v>
      </c>
      <c r="D1021" s="11" t="s">
        <v>1736</v>
      </c>
      <c r="E1021" s="31" t="s">
        <v>144</v>
      </c>
      <c r="F1021" s="23" t="s">
        <v>49</v>
      </c>
      <c r="G1021" s="426" t="s">
        <v>1737</v>
      </c>
      <c r="H1021" s="133">
        <v>112</v>
      </c>
      <c r="I1021" s="158" t="s">
        <v>1738</v>
      </c>
      <c r="J1021" s="133">
        <v>8</v>
      </c>
      <c r="K1021" s="132" t="s">
        <v>218</v>
      </c>
      <c r="L1021" s="132" t="s">
        <v>218</v>
      </c>
      <c r="M1021" s="12">
        <v>13369</v>
      </c>
      <c r="N1021" s="133">
        <v>13098</v>
      </c>
      <c r="O1021" s="372">
        <v>1232</v>
      </c>
      <c r="P1021" s="327" t="s">
        <v>515</v>
      </c>
      <c r="Q1021" s="133">
        <v>1083</v>
      </c>
      <c r="R1021" s="327" t="s">
        <v>515</v>
      </c>
      <c r="S1021" s="133">
        <v>1024</v>
      </c>
      <c r="T1021" s="327" t="s">
        <v>515</v>
      </c>
      <c r="U1021" s="133">
        <v>993</v>
      </c>
      <c r="V1021" s="327" t="s">
        <v>515</v>
      </c>
      <c r="W1021" s="133">
        <v>1280</v>
      </c>
      <c r="X1021" s="133" t="s">
        <v>515</v>
      </c>
      <c r="Y1021" s="133">
        <v>1018</v>
      </c>
      <c r="Z1021" s="327" t="s">
        <v>515</v>
      </c>
      <c r="AA1021" s="133">
        <v>855</v>
      </c>
      <c r="AB1021" s="133" t="s">
        <v>515</v>
      </c>
      <c r="AC1021" s="133">
        <v>1215</v>
      </c>
      <c r="AD1021" s="327" t="s">
        <v>515</v>
      </c>
      <c r="AE1021" s="133">
        <v>1106</v>
      </c>
      <c r="AF1021" s="133" t="s">
        <v>515</v>
      </c>
      <c r="AG1021" s="133">
        <v>1100</v>
      </c>
      <c r="AH1021" s="327" t="s">
        <v>515</v>
      </c>
      <c r="AI1021" s="133">
        <v>1233</v>
      </c>
      <c r="AJ1021" s="133" t="s">
        <v>515</v>
      </c>
      <c r="AK1021" s="133">
        <v>959</v>
      </c>
      <c r="AL1021" s="327" t="s">
        <v>515</v>
      </c>
      <c r="AM1021" s="327">
        <f t="shared" si="25"/>
        <v>13098</v>
      </c>
    </row>
    <row r="1022" spans="1:39" ht="18" customHeight="1" x14ac:dyDescent="0.3">
      <c r="A1022" s="425"/>
      <c r="B1022" s="423"/>
      <c r="C1022" s="11" t="s">
        <v>268</v>
      </c>
      <c r="D1022" s="11" t="s">
        <v>1736</v>
      </c>
      <c r="E1022" s="31" t="s">
        <v>48</v>
      </c>
      <c r="F1022" s="23" t="s">
        <v>49</v>
      </c>
      <c r="G1022" s="427"/>
      <c r="H1022" s="133"/>
      <c r="I1022" s="158" t="s">
        <v>1738</v>
      </c>
      <c r="J1022" s="133"/>
      <c r="K1022" s="132" t="s">
        <v>218</v>
      </c>
      <c r="L1022" s="132" t="s">
        <v>218</v>
      </c>
      <c r="M1022" s="12">
        <v>9725</v>
      </c>
      <c r="N1022" s="133">
        <v>10751</v>
      </c>
      <c r="O1022" s="372">
        <v>1587</v>
      </c>
      <c r="P1022" s="327" t="s">
        <v>515</v>
      </c>
      <c r="Q1022" s="133">
        <v>2086</v>
      </c>
      <c r="R1022" s="327" t="s">
        <v>515</v>
      </c>
      <c r="S1022" s="133">
        <v>2145</v>
      </c>
      <c r="T1022" s="327" t="s">
        <v>515</v>
      </c>
      <c r="U1022" s="133">
        <v>1052</v>
      </c>
      <c r="V1022" s="327" t="s">
        <v>515</v>
      </c>
      <c r="W1022" s="133">
        <v>520</v>
      </c>
      <c r="X1022" s="133" t="s">
        <v>515</v>
      </c>
      <c r="Y1022" s="133">
        <v>410</v>
      </c>
      <c r="Z1022" s="327" t="s">
        <v>515</v>
      </c>
      <c r="AA1022" s="133">
        <v>379</v>
      </c>
      <c r="AB1022" s="133" t="s">
        <v>515</v>
      </c>
      <c r="AC1022" s="133">
        <v>345</v>
      </c>
      <c r="AD1022" s="327" t="s">
        <v>515</v>
      </c>
      <c r="AE1022" s="133">
        <v>786</v>
      </c>
      <c r="AF1022" s="133" t="s">
        <v>515</v>
      </c>
      <c r="AG1022" s="133">
        <v>1054</v>
      </c>
      <c r="AH1022" s="327" t="s">
        <v>515</v>
      </c>
      <c r="AI1022" s="133">
        <v>1377</v>
      </c>
      <c r="AJ1022" s="133" t="s">
        <v>515</v>
      </c>
      <c r="AK1022" s="133">
        <v>1812</v>
      </c>
      <c r="AL1022" s="327" t="s">
        <v>515</v>
      </c>
      <c r="AM1022" s="327">
        <f t="shared" si="25"/>
        <v>13553</v>
      </c>
    </row>
    <row r="1023" spans="1:39" ht="18" customHeight="1" x14ac:dyDescent="0.3">
      <c r="A1023" s="424">
        <f t="shared" si="26"/>
        <v>693</v>
      </c>
      <c r="B1023" s="422" t="s">
        <v>1536</v>
      </c>
      <c r="C1023" s="11" t="s">
        <v>268</v>
      </c>
      <c r="D1023" s="11" t="s">
        <v>1736</v>
      </c>
      <c r="E1023" s="31" t="s">
        <v>144</v>
      </c>
      <c r="F1023" s="23" t="s">
        <v>49</v>
      </c>
      <c r="G1023" s="426" t="s">
        <v>1737</v>
      </c>
      <c r="H1023" s="133">
        <v>290</v>
      </c>
      <c r="I1023" s="158" t="s">
        <v>1738</v>
      </c>
      <c r="J1023" s="133">
        <v>16</v>
      </c>
      <c r="K1023" s="132" t="s">
        <v>218</v>
      </c>
      <c r="L1023" s="132" t="s">
        <v>218</v>
      </c>
      <c r="M1023" s="12">
        <v>33623</v>
      </c>
      <c r="N1023" s="133">
        <v>30783</v>
      </c>
      <c r="O1023" s="372">
        <v>2930</v>
      </c>
      <c r="P1023" s="327" t="s">
        <v>515</v>
      </c>
      <c r="Q1023" s="133">
        <v>3125</v>
      </c>
      <c r="R1023" s="327" t="s">
        <v>515</v>
      </c>
      <c r="S1023" s="133">
        <v>2655</v>
      </c>
      <c r="T1023" s="327" t="s">
        <v>515</v>
      </c>
      <c r="U1023" s="133">
        <v>2322</v>
      </c>
      <c r="V1023" s="327" t="s">
        <v>515</v>
      </c>
      <c r="W1023" s="133">
        <v>3730</v>
      </c>
      <c r="X1023" s="133" t="s">
        <v>515</v>
      </c>
      <c r="Y1023" s="133">
        <v>2766</v>
      </c>
      <c r="Z1023" s="327" t="s">
        <v>515</v>
      </c>
      <c r="AA1023" s="133">
        <v>2852</v>
      </c>
      <c r="AB1023" s="133" t="s">
        <v>515</v>
      </c>
      <c r="AC1023" s="133">
        <v>2239</v>
      </c>
      <c r="AD1023" s="327" t="s">
        <v>515</v>
      </c>
      <c r="AE1023" s="133">
        <v>2428</v>
      </c>
      <c r="AF1023" s="133" t="s">
        <v>515</v>
      </c>
      <c r="AG1023" s="133">
        <v>3134</v>
      </c>
      <c r="AH1023" s="327" t="s">
        <v>515</v>
      </c>
      <c r="AI1023" s="133">
        <v>0</v>
      </c>
      <c r="AJ1023" s="133" t="s">
        <v>515</v>
      </c>
      <c r="AK1023" s="133">
        <v>2602</v>
      </c>
      <c r="AL1023" s="327" t="s">
        <v>515</v>
      </c>
      <c r="AM1023" s="327">
        <f t="shared" si="25"/>
        <v>30783</v>
      </c>
    </row>
    <row r="1024" spans="1:39" ht="18" customHeight="1" x14ac:dyDescent="0.3">
      <c r="A1024" s="425"/>
      <c r="B1024" s="423"/>
      <c r="C1024" s="11" t="s">
        <v>268</v>
      </c>
      <c r="D1024" s="11" t="s">
        <v>1736</v>
      </c>
      <c r="E1024" s="31" t="s">
        <v>48</v>
      </c>
      <c r="F1024" s="23" t="s">
        <v>49</v>
      </c>
      <c r="G1024" s="427"/>
      <c r="H1024" s="133"/>
      <c r="I1024" s="158" t="s">
        <v>1738</v>
      </c>
      <c r="J1024" s="133"/>
      <c r="K1024" s="132" t="s">
        <v>218</v>
      </c>
      <c r="L1024" s="132" t="s">
        <v>218</v>
      </c>
      <c r="M1024" s="12">
        <v>59032</v>
      </c>
      <c r="N1024" s="133">
        <v>75037</v>
      </c>
      <c r="O1024" s="372">
        <v>8498</v>
      </c>
      <c r="P1024" s="327" t="s">
        <v>515</v>
      </c>
      <c r="Q1024" s="133">
        <v>8116</v>
      </c>
      <c r="R1024" s="327" t="s">
        <v>515</v>
      </c>
      <c r="S1024" s="133">
        <v>8586</v>
      </c>
      <c r="T1024" s="327" t="s">
        <v>515</v>
      </c>
      <c r="U1024" s="133">
        <v>7120</v>
      </c>
      <c r="V1024" s="327" t="s">
        <v>515</v>
      </c>
      <c r="W1024" s="133">
        <v>4741</v>
      </c>
      <c r="X1024" s="133" t="s">
        <v>515</v>
      </c>
      <c r="Y1024" s="133">
        <v>3108</v>
      </c>
      <c r="Z1024" s="327" t="s">
        <v>515</v>
      </c>
      <c r="AA1024" s="133">
        <v>2872</v>
      </c>
      <c r="AB1024" s="133" t="s">
        <v>515</v>
      </c>
      <c r="AC1024" s="133">
        <v>2636</v>
      </c>
      <c r="AD1024" s="327" t="s">
        <v>515</v>
      </c>
      <c r="AE1024" s="133">
        <v>2559</v>
      </c>
      <c r="AF1024" s="133" t="s">
        <v>515</v>
      </c>
      <c r="AG1024" s="133">
        <v>5851</v>
      </c>
      <c r="AH1024" s="327" t="s">
        <v>515</v>
      </c>
      <c r="AI1024" s="133">
        <v>11164</v>
      </c>
      <c r="AJ1024" s="133" t="s">
        <v>515</v>
      </c>
      <c r="AK1024" s="133">
        <v>9269</v>
      </c>
      <c r="AL1024" s="327" t="s">
        <v>515</v>
      </c>
      <c r="AM1024" s="327">
        <f t="shared" si="25"/>
        <v>74520</v>
      </c>
    </row>
    <row r="1025" spans="1:39" ht="18" customHeight="1" x14ac:dyDescent="0.3">
      <c r="A1025" s="424">
        <f t="shared" si="26"/>
        <v>694</v>
      </c>
      <c r="B1025" s="422" t="s">
        <v>1537</v>
      </c>
      <c r="C1025" s="11" t="s">
        <v>268</v>
      </c>
      <c r="D1025" s="11" t="s">
        <v>1736</v>
      </c>
      <c r="E1025" s="31" t="s">
        <v>144</v>
      </c>
      <c r="F1025" s="23" t="s">
        <v>49</v>
      </c>
      <c r="G1025" s="426" t="s">
        <v>1737</v>
      </c>
      <c r="H1025" s="133">
        <v>55</v>
      </c>
      <c r="I1025" s="158" t="s">
        <v>1738</v>
      </c>
      <c r="J1025" s="133">
        <v>2</v>
      </c>
      <c r="K1025" s="132" t="s">
        <v>218</v>
      </c>
      <c r="L1025" s="132" t="s">
        <v>218</v>
      </c>
      <c r="M1025" s="12">
        <v>6810</v>
      </c>
      <c r="N1025" s="133">
        <v>7385</v>
      </c>
      <c r="O1025" s="372">
        <v>586</v>
      </c>
      <c r="P1025" s="327" t="s">
        <v>515</v>
      </c>
      <c r="Q1025" s="133">
        <v>563</v>
      </c>
      <c r="R1025" s="327" t="s">
        <v>515</v>
      </c>
      <c r="S1025" s="133">
        <v>577</v>
      </c>
      <c r="T1025" s="327" t="s">
        <v>515</v>
      </c>
      <c r="U1025" s="133">
        <v>689</v>
      </c>
      <c r="V1025" s="327" t="s">
        <v>515</v>
      </c>
      <c r="W1025" s="133">
        <v>603</v>
      </c>
      <c r="X1025" s="133" t="s">
        <v>515</v>
      </c>
      <c r="Y1025" s="133">
        <v>718</v>
      </c>
      <c r="Z1025" s="327" t="s">
        <v>515</v>
      </c>
      <c r="AA1025" s="133">
        <v>526</v>
      </c>
      <c r="AB1025" s="133" t="s">
        <v>515</v>
      </c>
      <c r="AC1025" s="133">
        <v>491</v>
      </c>
      <c r="AD1025" s="327" t="s">
        <v>515</v>
      </c>
      <c r="AE1025" s="133">
        <v>719</v>
      </c>
      <c r="AF1025" s="133" t="s">
        <v>515</v>
      </c>
      <c r="AG1025" s="133">
        <v>739</v>
      </c>
      <c r="AH1025" s="327" t="s">
        <v>515</v>
      </c>
      <c r="AI1025" s="133">
        <v>574</v>
      </c>
      <c r="AJ1025" s="133" t="s">
        <v>515</v>
      </c>
      <c r="AK1025" s="133">
        <v>600</v>
      </c>
      <c r="AL1025" s="327" t="s">
        <v>515</v>
      </c>
      <c r="AM1025" s="327">
        <f t="shared" si="25"/>
        <v>7385</v>
      </c>
    </row>
    <row r="1026" spans="1:39" ht="18" customHeight="1" x14ac:dyDescent="0.3">
      <c r="A1026" s="425"/>
      <c r="B1026" s="423"/>
      <c r="C1026" s="11" t="s">
        <v>268</v>
      </c>
      <c r="D1026" s="11" t="s">
        <v>1736</v>
      </c>
      <c r="E1026" s="31" t="s">
        <v>48</v>
      </c>
      <c r="F1026" s="23" t="s">
        <v>49</v>
      </c>
      <c r="G1026" s="427"/>
      <c r="H1026" s="133"/>
      <c r="I1026" s="158" t="s">
        <v>1738</v>
      </c>
      <c r="J1026" s="133"/>
      <c r="K1026" s="132" t="s">
        <v>218</v>
      </c>
      <c r="L1026" s="132" t="s">
        <v>218</v>
      </c>
      <c r="M1026" s="12">
        <v>5603</v>
      </c>
      <c r="N1026" s="133">
        <v>6374</v>
      </c>
      <c r="O1026" s="372">
        <v>673</v>
      </c>
      <c r="P1026" s="327" t="s">
        <v>515</v>
      </c>
      <c r="Q1026" s="133">
        <v>758</v>
      </c>
      <c r="R1026" s="327" t="s">
        <v>515</v>
      </c>
      <c r="S1026" s="133">
        <v>744</v>
      </c>
      <c r="T1026" s="327" t="s">
        <v>515</v>
      </c>
      <c r="U1026" s="133">
        <v>421</v>
      </c>
      <c r="V1026" s="327" t="s">
        <v>515</v>
      </c>
      <c r="W1026" s="133">
        <v>580</v>
      </c>
      <c r="X1026" s="133" t="s">
        <v>515</v>
      </c>
      <c r="Y1026" s="133">
        <v>497</v>
      </c>
      <c r="Z1026" s="327" t="s">
        <v>515</v>
      </c>
      <c r="AA1026" s="133">
        <v>274</v>
      </c>
      <c r="AB1026" s="133" t="s">
        <v>515</v>
      </c>
      <c r="AC1026" s="133">
        <v>340</v>
      </c>
      <c r="AD1026" s="327" t="s">
        <v>515</v>
      </c>
      <c r="AE1026" s="133">
        <v>431</v>
      </c>
      <c r="AF1026" s="133" t="s">
        <v>515</v>
      </c>
      <c r="AG1026" s="133">
        <v>547</v>
      </c>
      <c r="AH1026" s="327" t="s">
        <v>515</v>
      </c>
      <c r="AI1026" s="133">
        <v>567</v>
      </c>
      <c r="AJ1026" s="133" t="s">
        <v>515</v>
      </c>
      <c r="AK1026" s="133">
        <v>559</v>
      </c>
      <c r="AL1026" s="327" t="s">
        <v>515</v>
      </c>
      <c r="AM1026" s="327">
        <f t="shared" si="25"/>
        <v>6391</v>
      </c>
    </row>
    <row r="1027" spans="1:39" ht="18" customHeight="1" x14ac:dyDescent="0.3">
      <c r="A1027" s="424">
        <f t="shared" si="26"/>
        <v>695</v>
      </c>
      <c r="B1027" s="422" t="s">
        <v>1538</v>
      </c>
      <c r="C1027" s="11" t="s">
        <v>268</v>
      </c>
      <c r="D1027" s="11" t="s">
        <v>1736</v>
      </c>
      <c r="E1027" s="31" t="s">
        <v>144</v>
      </c>
      <c r="F1027" s="23" t="s">
        <v>49</v>
      </c>
      <c r="G1027" s="426" t="s">
        <v>1737</v>
      </c>
      <c r="H1027" s="133">
        <v>180</v>
      </c>
      <c r="I1027" s="158" t="s">
        <v>1738</v>
      </c>
      <c r="J1027" s="133">
        <v>5</v>
      </c>
      <c r="K1027" s="132" t="s">
        <v>218</v>
      </c>
      <c r="L1027" s="132" t="s">
        <v>218</v>
      </c>
      <c r="M1027" s="12">
        <v>11099</v>
      </c>
      <c r="N1027" s="133">
        <v>13159</v>
      </c>
      <c r="O1027" s="372">
        <v>1231</v>
      </c>
      <c r="P1027" s="327" t="s">
        <v>515</v>
      </c>
      <c r="Q1027" s="133">
        <v>1333</v>
      </c>
      <c r="R1027" s="327" t="s">
        <v>515</v>
      </c>
      <c r="S1027" s="133">
        <v>963</v>
      </c>
      <c r="T1027" s="327" t="s">
        <v>515</v>
      </c>
      <c r="U1027" s="133">
        <v>1161</v>
      </c>
      <c r="V1027" s="327" t="s">
        <v>515</v>
      </c>
      <c r="W1027" s="133">
        <v>800</v>
      </c>
      <c r="X1027" s="133" t="s">
        <v>515</v>
      </c>
      <c r="Y1027" s="133">
        <v>1110</v>
      </c>
      <c r="Z1027" s="327" t="s">
        <v>515</v>
      </c>
      <c r="AA1027" s="133">
        <v>813</v>
      </c>
      <c r="AB1027" s="133" t="s">
        <v>515</v>
      </c>
      <c r="AC1027" s="133">
        <v>757</v>
      </c>
      <c r="AD1027" s="327" t="s">
        <v>515</v>
      </c>
      <c r="AE1027" s="133">
        <v>1125</v>
      </c>
      <c r="AF1027" s="133" t="s">
        <v>515</v>
      </c>
      <c r="AG1027" s="133">
        <v>1010</v>
      </c>
      <c r="AH1027" s="327" t="s">
        <v>515</v>
      </c>
      <c r="AI1027" s="133">
        <v>1423</v>
      </c>
      <c r="AJ1027" s="133" t="s">
        <v>515</v>
      </c>
      <c r="AK1027" s="133">
        <v>1433</v>
      </c>
      <c r="AL1027" s="327" t="s">
        <v>515</v>
      </c>
      <c r="AM1027" s="327">
        <f t="shared" si="25"/>
        <v>13159</v>
      </c>
    </row>
    <row r="1028" spans="1:39" ht="18" customHeight="1" x14ac:dyDescent="0.3">
      <c r="A1028" s="425"/>
      <c r="B1028" s="423"/>
      <c r="C1028" s="11" t="s">
        <v>268</v>
      </c>
      <c r="D1028" s="11" t="s">
        <v>1736</v>
      </c>
      <c r="E1028" s="31" t="s">
        <v>48</v>
      </c>
      <c r="F1028" s="23" t="s">
        <v>49</v>
      </c>
      <c r="G1028" s="427"/>
      <c r="H1028" s="133"/>
      <c r="I1028" s="158" t="s">
        <v>1738</v>
      </c>
      <c r="J1028" s="133"/>
      <c r="K1028" s="132" t="s">
        <v>218</v>
      </c>
      <c r="L1028" s="132" t="s">
        <v>218</v>
      </c>
      <c r="M1028" s="12">
        <v>18500</v>
      </c>
      <c r="N1028" s="133">
        <v>19290</v>
      </c>
      <c r="O1028" s="372">
        <v>1620</v>
      </c>
      <c r="P1028" s="327" t="s">
        <v>515</v>
      </c>
      <c r="Q1028" s="133">
        <v>1306</v>
      </c>
      <c r="R1028" s="327" t="s">
        <v>515</v>
      </c>
      <c r="S1028" s="133">
        <v>1676</v>
      </c>
      <c r="T1028" s="327" t="s">
        <v>515</v>
      </c>
      <c r="U1028" s="133">
        <v>1003</v>
      </c>
      <c r="V1028" s="327" t="s">
        <v>515</v>
      </c>
      <c r="W1028" s="133">
        <v>1590</v>
      </c>
      <c r="X1028" s="133" t="s">
        <v>515</v>
      </c>
      <c r="Y1028" s="133">
        <v>1630</v>
      </c>
      <c r="Z1028" s="327" t="s">
        <v>515</v>
      </c>
      <c r="AA1028" s="133">
        <v>1460</v>
      </c>
      <c r="AB1028" s="133" t="s">
        <v>515</v>
      </c>
      <c r="AC1028" s="133">
        <v>1440</v>
      </c>
      <c r="AD1028" s="327" t="s">
        <v>515</v>
      </c>
      <c r="AE1028" s="133">
        <v>1790</v>
      </c>
      <c r="AF1028" s="133" t="s">
        <v>515</v>
      </c>
      <c r="AG1028" s="133">
        <v>1510</v>
      </c>
      <c r="AH1028" s="327" t="s">
        <v>515</v>
      </c>
      <c r="AI1028" s="133">
        <v>1770</v>
      </c>
      <c r="AJ1028" s="133" t="s">
        <v>515</v>
      </c>
      <c r="AK1028" s="133">
        <v>1500</v>
      </c>
      <c r="AL1028" s="327" t="s">
        <v>515</v>
      </c>
      <c r="AM1028" s="327">
        <f t="shared" si="25"/>
        <v>18295</v>
      </c>
    </row>
    <row r="1029" spans="1:39" ht="18" customHeight="1" x14ac:dyDescent="0.3">
      <c r="A1029" s="424">
        <f t="shared" si="26"/>
        <v>696</v>
      </c>
      <c r="B1029" s="422" t="s">
        <v>1539</v>
      </c>
      <c r="C1029" s="11" t="s">
        <v>268</v>
      </c>
      <c r="D1029" s="11" t="s">
        <v>1736</v>
      </c>
      <c r="E1029" s="31" t="s">
        <v>144</v>
      </c>
      <c r="F1029" s="23" t="s">
        <v>49</v>
      </c>
      <c r="G1029" s="428" t="s">
        <v>336</v>
      </c>
      <c r="H1029" s="133">
        <v>52</v>
      </c>
      <c r="I1029" s="158" t="s">
        <v>1738</v>
      </c>
      <c r="J1029" s="133">
        <v>2</v>
      </c>
      <c r="K1029" s="132" t="s">
        <v>218</v>
      </c>
      <c r="L1029" s="132" t="s">
        <v>218</v>
      </c>
      <c r="M1029" s="12">
        <v>6254</v>
      </c>
      <c r="N1029" s="133">
        <v>6458</v>
      </c>
      <c r="O1029" s="372">
        <v>543</v>
      </c>
      <c r="P1029" s="327" t="s">
        <v>515</v>
      </c>
      <c r="Q1029" s="133">
        <v>599</v>
      </c>
      <c r="R1029" s="327" t="s">
        <v>515</v>
      </c>
      <c r="S1029" s="133">
        <v>501</v>
      </c>
      <c r="T1029" s="327" t="s">
        <v>515</v>
      </c>
      <c r="U1029" s="133">
        <v>504</v>
      </c>
      <c r="V1029" s="327" t="s">
        <v>515</v>
      </c>
      <c r="W1029" s="133">
        <v>642</v>
      </c>
      <c r="X1029" s="133" t="s">
        <v>515</v>
      </c>
      <c r="Y1029" s="133">
        <v>576</v>
      </c>
      <c r="Z1029" s="327" t="s">
        <v>515</v>
      </c>
      <c r="AA1029" s="133">
        <v>463</v>
      </c>
      <c r="AB1029" s="133" t="s">
        <v>515</v>
      </c>
      <c r="AC1029" s="133">
        <v>458</v>
      </c>
      <c r="AD1029" s="327" t="s">
        <v>515</v>
      </c>
      <c r="AE1029" s="133">
        <v>578</v>
      </c>
      <c r="AF1029" s="133" t="s">
        <v>515</v>
      </c>
      <c r="AG1029" s="133">
        <v>537</v>
      </c>
      <c r="AH1029" s="327" t="s">
        <v>515</v>
      </c>
      <c r="AI1029" s="133">
        <v>574</v>
      </c>
      <c r="AJ1029" s="133" t="s">
        <v>515</v>
      </c>
      <c r="AK1029" s="133">
        <v>483</v>
      </c>
      <c r="AL1029" s="327" t="s">
        <v>515</v>
      </c>
      <c r="AM1029" s="327">
        <f t="shared" si="25"/>
        <v>6458</v>
      </c>
    </row>
    <row r="1030" spans="1:39" ht="18" customHeight="1" x14ac:dyDescent="0.3">
      <c r="A1030" s="425"/>
      <c r="B1030" s="423"/>
      <c r="C1030" s="11" t="s">
        <v>268</v>
      </c>
      <c r="D1030" s="11" t="s">
        <v>1736</v>
      </c>
      <c r="E1030" s="31" t="s">
        <v>48</v>
      </c>
      <c r="F1030" s="23" t="s">
        <v>49</v>
      </c>
      <c r="G1030" s="429"/>
      <c r="H1030" s="133"/>
      <c r="I1030" s="158" t="s">
        <v>1738</v>
      </c>
      <c r="J1030" s="133"/>
      <c r="K1030" s="132" t="s">
        <v>218</v>
      </c>
      <c r="L1030" s="132" t="s">
        <v>218</v>
      </c>
      <c r="M1030" s="12">
        <v>8914</v>
      </c>
      <c r="N1030" s="133">
        <v>7839</v>
      </c>
      <c r="O1030" s="372">
        <v>936</v>
      </c>
      <c r="P1030" s="327" t="s">
        <v>515</v>
      </c>
      <c r="Q1030" s="133">
        <v>791</v>
      </c>
      <c r="R1030" s="327" t="s">
        <v>515</v>
      </c>
      <c r="S1030" s="133">
        <v>889</v>
      </c>
      <c r="T1030" s="327" t="s">
        <v>515</v>
      </c>
      <c r="U1030" s="133">
        <v>561</v>
      </c>
      <c r="V1030" s="327" t="s">
        <v>515</v>
      </c>
      <c r="W1030" s="133">
        <v>645</v>
      </c>
      <c r="X1030" s="133" t="s">
        <v>515</v>
      </c>
      <c r="Y1030" s="133">
        <v>434</v>
      </c>
      <c r="Z1030" s="327" t="s">
        <v>515</v>
      </c>
      <c r="AA1030" s="133">
        <v>582</v>
      </c>
      <c r="AB1030" s="133" t="s">
        <v>515</v>
      </c>
      <c r="AC1030" s="133">
        <v>447</v>
      </c>
      <c r="AD1030" s="327" t="s">
        <v>515</v>
      </c>
      <c r="AE1030" s="133">
        <v>651</v>
      </c>
      <c r="AF1030" s="133" t="s">
        <v>515</v>
      </c>
      <c r="AG1030" s="133">
        <v>710</v>
      </c>
      <c r="AH1030" s="327" t="s">
        <v>515</v>
      </c>
      <c r="AI1030" s="133">
        <v>936</v>
      </c>
      <c r="AJ1030" s="133" t="s">
        <v>515</v>
      </c>
      <c r="AK1030" s="133">
        <v>879</v>
      </c>
      <c r="AL1030" s="327" t="s">
        <v>515</v>
      </c>
      <c r="AM1030" s="327">
        <f t="shared" si="25"/>
        <v>8461</v>
      </c>
    </row>
    <row r="1031" spans="1:39" ht="18" customHeight="1" x14ac:dyDescent="0.3">
      <c r="A1031" s="424">
        <f t="shared" si="26"/>
        <v>697</v>
      </c>
      <c r="B1031" s="422" t="s">
        <v>1540</v>
      </c>
      <c r="C1031" s="11" t="s">
        <v>268</v>
      </c>
      <c r="D1031" s="11" t="s">
        <v>1736</v>
      </c>
      <c r="E1031" s="31" t="s">
        <v>144</v>
      </c>
      <c r="F1031" s="23" t="s">
        <v>49</v>
      </c>
      <c r="G1031" s="426" t="s">
        <v>1737</v>
      </c>
      <c r="H1031" s="133">
        <v>384</v>
      </c>
      <c r="I1031" s="158" t="s">
        <v>1738</v>
      </c>
      <c r="J1031" s="133">
        <v>8</v>
      </c>
      <c r="K1031" s="132" t="s">
        <v>218</v>
      </c>
      <c r="L1031" s="132" t="s">
        <v>218</v>
      </c>
      <c r="M1031" s="12">
        <v>26560</v>
      </c>
      <c r="N1031" s="133">
        <v>28210</v>
      </c>
      <c r="O1031" s="372">
        <v>2320</v>
      </c>
      <c r="P1031" s="327" t="s">
        <v>515</v>
      </c>
      <c r="Q1031" s="133">
        <v>2550</v>
      </c>
      <c r="R1031" s="327" t="s">
        <v>515</v>
      </c>
      <c r="S1031" s="133">
        <v>2160</v>
      </c>
      <c r="T1031" s="327" t="s">
        <v>515</v>
      </c>
      <c r="U1031" s="133">
        <v>2680</v>
      </c>
      <c r="V1031" s="327" t="s">
        <v>515</v>
      </c>
      <c r="W1031" s="133">
        <v>3390</v>
      </c>
      <c r="X1031" s="133" t="s">
        <v>515</v>
      </c>
      <c r="Y1031" s="133">
        <v>2330</v>
      </c>
      <c r="Z1031" s="327" t="s">
        <v>515</v>
      </c>
      <c r="AA1031" s="133">
        <v>1950</v>
      </c>
      <c r="AB1031" s="133" t="s">
        <v>515</v>
      </c>
      <c r="AC1031" s="133">
        <v>1840</v>
      </c>
      <c r="AD1031" s="327" t="s">
        <v>515</v>
      </c>
      <c r="AE1031" s="133">
        <v>2410</v>
      </c>
      <c r="AF1031" s="133" t="s">
        <v>515</v>
      </c>
      <c r="AG1031" s="133">
        <v>2250</v>
      </c>
      <c r="AH1031" s="327" t="s">
        <v>515</v>
      </c>
      <c r="AI1031" s="133">
        <v>2160</v>
      </c>
      <c r="AJ1031" s="133" t="s">
        <v>515</v>
      </c>
      <c r="AK1031" s="133">
        <v>2170</v>
      </c>
      <c r="AL1031" s="327" t="s">
        <v>515</v>
      </c>
      <c r="AM1031" s="327">
        <f t="shared" si="25"/>
        <v>28210</v>
      </c>
    </row>
    <row r="1032" spans="1:39" ht="18" customHeight="1" x14ac:dyDescent="0.3">
      <c r="A1032" s="425"/>
      <c r="B1032" s="423"/>
      <c r="C1032" s="11" t="s">
        <v>268</v>
      </c>
      <c r="D1032" s="11" t="s">
        <v>1736</v>
      </c>
      <c r="E1032" s="31" t="s">
        <v>48</v>
      </c>
      <c r="F1032" s="23" t="s">
        <v>49</v>
      </c>
      <c r="G1032" s="427"/>
      <c r="H1032" s="133"/>
      <c r="I1032" s="158" t="s">
        <v>1738</v>
      </c>
      <c r="J1032" s="133"/>
      <c r="K1032" s="132" t="s">
        <v>218</v>
      </c>
      <c r="L1032" s="132" t="s">
        <v>218</v>
      </c>
      <c r="M1032" s="12">
        <v>34977</v>
      </c>
      <c r="N1032" s="133">
        <v>25682</v>
      </c>
      <c r="O1032" s="372">
        <v>4132</v>
      </c>
      <c r="P1032" s="327" t="s">
        <v>515</v>
      </c>
      <c r="Q1032" s="133">
        <v>1041</v>
      </c>
      <c r="R1032" s="327" t="s">
        <v>515</v>
      </c>
      <c r="S1032" s="133">
        <v>1431</v>
      </c>
      <c r="T1032" s="327" t="s">
        <v>515</v>
      </c>
      <c r="U1032" s="133">
        <v>506</v>
      </c>
      <c r="V1032" s="327" t="s">
        <v>515</v>
      </c>
      <c r="W1032" s="133">
        <v>2185</v>
      </c>
      <c r="X1032" s="133" t="s">
        <v>515</v>
      </c>
      <c r="Y1032" s="133">
        <v>1252</v>
      </c>
      <c r="Z1032" s="327" t="s">
        <v>515</v>
      </c>
      <c r="AA1032" s="133">
        <v>974</v>
      </c>
      <c r="AB1032" s="133" t="s">
        <v>515</v>
      </c>
      <c r="AC1032" s="133">
        <v>910</v>
      </c>
      <c r="AD1032" s="327" t="s">
        <v>515</v>
      </c>
      <c r="AE1032" s="133">
        <v>1302</v>
      </c>
      <c r="AF1032" s="133" t="s">
        <v>515</v>
      </c>
      <c r="AG1032" s="133">
        <v>1454</v>
      </c>
      <c r="AH1032" s="327" t="s">
        <v>515</v>
      </c>
      <c r="AI1032" s="133">
        <v>1452</v>
      </c>
      <c r="AJ1032" s="133" t="s">
        <v>515</v>
      </c>
      <c r="AK1032" s="133">
        <v>1533</v>
      </c>
      <c r="AL1032" s="327" t="s">
        <v>515</v>
      </c>
      <c r="AM1032" s="327">
        <f t="shared" si="25"/>
        <v>18172</v>
      </c>
    </row>
    <row r="1033" spans="1:39" ht="18" customHeight="1" x14ac:dyDescent="0.3">
      <c r="A1033" s="424">
        <f t="shared" si="26"/>
        <v>698</v>
      </c>
      <c r="B1033" s="422" t="s">
        <v>1541</v>
      </c>
      <c r="C1033" s="11" t="s">
        <v>268</v>
      </c>
      <c r="D1033" s="11" t="s">
        <v>1736</v>
      </c>
      <c r="E1033" s="31" t="s">
        <v>144</v>
      </c>
      <c r="F1033" s="23" t="s">
        <v>49</v>
      </c>
      <c r="G1033" s="428" t="s">
        <v>336</v>
      </c>
      <c r="H1033" s="133">
        <v>127</v>
      </c>
      <c r="I1033" s="158" t="s">
        <v>1738</v>
      </c>
      <c r="J1033" s="133">
        <v>5</v>
      </c>
      <c r="K1033" s="132" t="s">
        <v>218</v>
      </c>
      <c r="L1033" s="132" t="s">
        <v>218</v>
      </c>
      <c r="M1033" s="12">
        <v>19450</v>
      </c>
      <c r="N1033" s="133">
        <v>18553</v>
      </c>
      <c r="O1033" s="372">
        <v>1903</v>
      </c>
      <c r="P1033" s="327" t="s">
        <v>515</v>
      </c>
      <c r="Q1033" s="133">
        <v>1949</v>
      </c>
      <c r="R1033" s="327" t="s">
        <v>515</v>
      </c>
      <c r="S1033" s="133">
        <v>1787</v>
      </c>
      <c r="T1033" s="327" t="s">
        <v>515</v>
      </c>
      <c r="U1033" s="133">
        <v>1879</v>
      </c>
      <c r="V1033" s="327" t="s">
        <v>515</v>
      </c>
      <c r="W1033" s="133">
        <v>1818</v>
      </c>
      <c r="X1033" s="133" t="s">
        <v>515</v>
      </c>
      <c r="Y1033" s="133">
        <v>1689</v>
      </c>
      <c r="Z1033" s="327" t="s">
        <v>515</v>
      </c>
      <c r="AA1033" s="133">
        <v>1492</v>
      </c>
      <c r="AB1033" s="133" t="s">
        <v>515</v>
      </c>
      <c r="AC1033" s="133">
        <v>1420</v>
      </c>
      <c r="AD1033" s="327" t="s">
        <v>515</v>
      </c>
      <c r="AE1033" s="133">
        <v>2000</v>
      </c>
      <c r="AF1033" s="133" t="s">
        <v>515</v>
      </c>
      <c r="AG1033" s="133">
        <v>1107</v>
      </c>
      <c r="AH1033" s="327" t="s">
        <v>515</v>
      </c>
      <c r="AI1033" s="133">
        <v>0</v>
      </c>
      <c r="AJ1033" s="133" t="s">
        <v>515</v>
      </c>
      <c r="AK1033" s="133">
        <v>1509</v>
      </c>
      <c r="AL1033" s="327" t="s">
        <v>515</v>
      </c>
      <c r="AM1033" s="327">
        <f t="shared" si="25"/>
        <v>18553</v>
      </c>
    </row>
    <row r="1034" spans="1:39" ht="18" customHeight="1" x14ac:dyDescent="0.3">
      <c r="A1034" s="425"/>
      <c r="B1034" s="423"/>
      <c r="C1034" s="11" t="s">
        <v>268</v>
      </c>
      <c r="D1034" s="11" t="s">
        <v>1736</v>
      </c>
      <c r="E1034" s="31" t="s">
        <v>48</v>
      </c>
      <c r="F1034" s="23" t="s">
        <v>49</v>
      </c>
      <c r="G1034" s="429"/>
      <c r="H1034" s="133"/>
      <c r="I1034" s="158" t="s">
        <v>1738</v>
      </c>
      <c r="J1034" s="133"/>
      <c r="K1034" s="132" t="s">
        <v>218</v>
      </c>
      <c r="L1034" s="132" t="s">
        <v>218</v>
      </c>
      <c r="M1034" s="12">
        <v>11204</v>
      </c>
      <c r="N1034" s="133">
        <v>11536</v>
      </c>
      <c r="O1034" s="372">
        <v>1135</v>
      </c>
      <c r="P1034" s="327" t="s">
        <v>515</v>
      </c>
      <c r="Q1034" s="133">
        <v>484</v>
      </c>
      <c r="R1034" s="327" t="s">
        <v>515</v>
      </c>
      <c r="S1034" s="133">
        <v>646</v>
      </c>
      <c r="T1034" s="327" t="s">
        <v>515</v>
      </c>
      <c r="U1034" s="133">
        <v>1108</v>
      </c>
      <c r="V1034" s="327" t="s">
        <v>515</v>
      </c>
      <c r="W1034" s="133">
        <v>996</v>
      </c>
      <c r="X1034" s="133" t="s">
        <v>515</v>
      </c>
      <c r="Y1034" s="133">
        <v>1134</v>
      </c>
      <c r="Z1034" s="327" t="s">
        <v>515</v>
      </c>
      <c r="AA1034" s="133">
        <v>1010</v>
      </c>
      <c r="AB1034" s="133" t="s">
        <v>515</v>
      </c>
      <c r="AC1034" s="133">
        <v>969</v>
      </c>
      <c r="AD1034" s="327" t="s">
        <v>515</v>
      </c>
      <c r="AE1034" s="133">
        <v>1215</v>
      </c>
      <c r="AF1034" s="133" t="s">
        <v>515</v>
      </c>
      <c r="AG1034" s="133">
        <v>589</v>
      </c>
      <c r="AH1034" s="327" t="s">
        <v>515</v>
      </c>
      <c r="AI1034" s="133">
        <v>0</v>
      </c>
      <c r="AJ1034" s="133" t="s">
        <v>515</v>
      </c>
      <c r="AK1034" s="133">
        <v>924</v>
      </c>
      <c r="AL1034" s="327" t="s">
        <v>515</v>
      </c>
      <c r="AM1034" s="327">
        <f t="shared" si="25"/>
        <v>10210</v>
      </c>
    </row>
    <row r="1035" spans="1:39" ht="18" customHeight="1" x14ac:dyDescent="0.3">
      <c r="A1035" s="424">
        <f t="shared" si="26"/>
        <v>699</v>
      </c>
      <c r="B1035" s="422" t="s">
        <v>1542</v>
      </c>
      <c r="C1035" s="11" t="s">
        <v>268</v>
      </c>
      <c r="D1035" s="11" t="s">
        <v>1736</v>
      </c>
      <c r="E1035" s="31" t="s">
        <v>144</v>
      </c>
      <c r="F1035" s="23" t="s">
        <v>49</v>
      </c>
      <c r="G1035" s="426" t="s">
        <v>1737</v>
      </c>
      <c r="H1035" s="133">
        <v>45</v>
      </c>
      <c r="I1035" s="158" t="s">
        <v>1738</v>
      </c>
      <c r="J1035" s="133">
        <v>2</v>
      </c>
      <c r="K1035" s="132" t="s">
        <v>218</v>
      </c>
      <c r="L1035" s="132" t="s">
        <v>218</v>
      </c>
      <c r="M1035" s="12">
        <v>6098</v>
      </c>
      <c r="N1035" s="133">
        <v>6016</v>
      </c>
      <c r="O1035" s="372">
        <v>593</v>
      </c>
      <c r="P1035" s="327" t="s">
        <v>515</v>
      </c>
      <c r="Q1035" s="133">
        <v>502</v>
      </c>
      <c r="R1035" s="327" t="s">
        <v>515</v>
      </c>
      <c r="S1035" s="133">
        <v>472</v>
      </c>
      <c r="T1035" s="327" t="s">
        <v>515</v>
      </c>
      <c r="U1035" s="133">
        <v>589</v>
      </c>
      <c r="V1035" s="327" t="s">
        <v>515</v>
      </c>
      <c r="W1035" s="133">
        <v>458</v>
      </c>
      <c r="X1035" s="133" t="s">
        <v>515</v>
      </c>
      <c r="Y1035" s="133">
        <v>537</v>
      </c>
      <c r="Z1035" s="327" t="s">
        <v>515</v>
      </c>
      <c r="AA1035" s="133">
        <v>426</v>
      </c>
      <c r="AB1035" s="133" t="s">
        <v>515</v>
      </c>
      <c r="AC1035" s="133">
        <v>407</v>
      </c>
      <c r="AD1035" s="327" t="s">
        <v>515</v>
      </c>
      <c r="AE1035" s="133">
        <v>478</v>
      </c>
      <c r="AF1035" s="133" t="s">
        <v>515</v>
      </c>
      <c r="AG1035" s="133">
        <v>540</v>
      </c>
      <c r="AH1035" s="327" t="s">
        <v>515</v>
      </c>
      <c r="AI1035" s="133">
        <v>556</v>
      </c>
      <c r="AJ1035" s="133" t="s">
        <v>515</v>
      </c>
      <c r="AK1035" s="133">
        <v>458</v>
      </c>
      <c r="AL1035" s="327" t="s">
        <v>515</v>
      </c>
      <c r="AM1035" s="327">
        <f t="shared" si="25"/>
        <v>6016</v>
      </c>
    </row>
    <row r="1036" spans="1:39" ht="18" customHeight="1" x14ac:dyDescent="0.3">
      <c r="A1036" s="425"/>
      <c r="B1036" s="423"/>
      <c r="C1036" s="11" t="s">
        <v>268</v>
      </c>
      <c r="D1036" s="11" t="s">
        <v>1736</v>
      </c>
      <c r="E1036" s="31" t="s">
        <v>48</v>
      </c>
      <c r="F1036" s="23" t="s">
        <v>49</v>
      </c>
      <c r="G1036" s="427"/>
      <c r="H1036" s="133"/>
      <c r="I1036" s="158" t="s">
        <v>1738</v>
      </c>
      <c r="J1036" s="133"/>
      <c r="K1036" s="132" t="s">
        <v>218</v>
      </c>
      <c r="L1036" s="132" t="s">
        <v>218</v>
      </c>
      <c r="M1036" s="12">
        <v>3469</v>
      </c>
      <c r="N1036" s="133">
        <v>6048</v>
      </c>
      <c r="O1036" s="372">
        <v>782</v>
      </c>
      <c r="P1036" s="327" t="s">
        <v>515</v>
      </c>
      <c r="Q1036" s="133">
        <v>473</v>
      </c>
      <c r="R1036" s="327" t="s">
        <v>515</v>
      </c>
      <c r="S1036" s="133">
        <v>503</v>
      </c>
      <c r="T1036" s="327" t="s">
        <v>515</v>
      </c>
      <c r="U1036" s="133">
        <v>401</v>
      </c>
      <c r="V1036" s="327" t="s">
        <v>515</v>
      </c>
      <c r="W1036" s="133">
        <v>285</v>
      </c>
      <c r="X1036" s="133" t="s">
        <v>515</v>
      </c>
      <c r="Y1036" s="133">
        <v>331</v>
      </c>
      <c r="Z1036" s="327" t="s">
        <v>515</v>
      </c>
      <c r="AA1036" s="133">
        <v>345</v>
      </c>
      <c r="AB1036" s="133" t="s">
        <v>515</v>
      </c>
      <c r="AC1036" s="133">
        <v>395</v>
      </c>
      <c r="AD1036" s="327" t="s">
        <v>515</v>
      </c>
      <c r="AE1036" s="133">
        <v>472</v>
      </c>
      <c r="AF1036" s="133" t="s">
        <v>515</v>
      </c>
      <c r="AG1036" s="133">
        <v>653</v>
      </c>
      <c r="AH1036" s="327" t="s">
        <v>515</v>
      </c>
      <c r="AI1036" s="133">
        <v>680</v>
      </c>
      <c r="AJ1036" s="133" t="s">
        <v>515</v>
      </c>
      <c r="AK1036" s="133">
        <v>586</v>
      </c>
      <c r="AL1036" s="327" t="s">
        <v>515</v>
      </c>
      <c r="AM1036" s="327">
        <f t="shared" si="25"/>
        <v>5906</v>
      </c>
    </row>
    <row r="1037" spans="1:39" ht="18" customHeight="1" x14ac:dyDescent="0.3">
      <c r="A1037" s="424">
        <f t="shared" si="26"/>
        <v>700</v>
      </c>
      <c r="B1037" s="422" t="s">
        <v>1543</v>
      </c>
      <c r="C1037" s="11" t="s">
        <v>268</v>
      </c>
      <c r="D1037" s="11" t="s">
        <v>1736</v>
      </c>
      <c r="E1037" s="31" t="s">
        <v>144</v>
      </c>
      <c r="F1037" s="23" t="s">
        <v>49</v>
      </c>
      <c r="G1037" s="426" t="s">
        <v>1737</v>
      </c>
      <c r="H1037" s="133">
        <v>280</v>
      </c>
      <c r="I1037" s="158" t="s">
        <v>1738</v>
      </c>
      <c r="J1037" s="133">
        <v>11</v>
      </c>
      <c r="K1037" s="132" t="s">
        <v>218</v>
      </c>
      <c r="L1037" s="132" t="s">
        <v>218</v>
      </c>
      <c r="M1037" s="12">
        <v>22543</v>
      </c>
      <c r="N1037" s="133">
        <v>22546</v>
      </c>
      <c r="O1037" s="372">
        <v>3145</v>
      </c>
      <c r="P1037" s="327" t="s">
        <v>515</v>
      </c>
      <c r="Q1037" s="133">
        <v>1881</v>
      </c>
      <c r="R1037" s="327" t="s">
        <v>515</v>
      </c>
      <c r="S1037" s="133">
        <v>1877</v>
      </c>
      <c r="T1037" s="327" t="s">
        <v>515</v>
      </c>
      <c r="U1037" s="133">
        <v>2245</v>
      </c>
      <c r="V1037" s="327" t="s">
        <v>515</v>
      </c>
      <c r="W1037" s="133">
        <v>1830</v>
      </c>
      <c r="X1037" s="133" t="s">
        <v>515</v>
      </c>
      <c r="Y1037" s="133">
        <v>2004</v>
      </c>
      <c r="Z1037" s="327" t="s">
        <v>515</v>
      </c>
      <c r="AA1037" s="133">
        <v>1914</v>
      </c>
      <c r="AB1037" s="133" t="s">
        <v>515</v>
      </c>
      <c r="AC1037" s="133">
        <v>1717</v>
      </c>
      <c r="AD1037" s="327" t="s">
        <v>515</v>
      </c>
      <c r="AE1037" s="133">
        <v>1912</v>
      </c>
      <c r="AF1037" s="133" t="s">
        <v>515</v>
      </c>
      <c r="AG1037" s="133">
        <v>2108</v>
      </c>
      <c r="AH1037" s="327" t="s">
        <v>515</v>
      </c>
      <c r="AI1037" s="133">
        <v>0</v>
      </c>
      <c r="AJ1037" s="133" t="s">
        <v>515</v>
      </c>
      <c r="AK1037" s="133">
        <v>1913</v>
      </c>
      <c r="AL1037" s="327" t="s">
        <v>515</v>
      </c>
      <c r="AM1037" s="327">
        <f t="shared" si="25"/>
        <v>22546</v>
      </c>
    </row>
    <row r="1038" spans="1:39" ht="18" customHeight="1" x14ac:dyDescent="0.3">
      <c r="A1038" s="425"/>
      <c r="B1038" s="423"/>
      <c r="C1038" s="11" t="s">
        <v>268</v>
      </c>
      <c r="D1038" s="11" t="s">
        <v>1736</v>
      </c>
      <c r="E1038" s="31" t="s">
        <v>48</v>
      </c>
      <c r="F1038" s="23" t="s">
        <v>49</v>
      </c>
      <c r="G1038" s="427"/>
      <c r="H1038" s="133"/>
      <c r="I1038" s="158" t="s">
        <v>1738</v>
      </c>
      <c r="J1038" s="133"/>
      <c r="K1038" s="132" t="s">
        <v>218</v>
      </c>
      <c r="L1038" s="132" t="s">
        <v>218</v>
      </c>
      <c r="M1038" s="12">
        <v>32188</v>
      </c>
      <c r="N1038" s="133">
        <v>29093</v>
      </c>
      <c r="O1038" s="372">
        <v>5316</v>
      </c>
      <c r="P1038" s="327" t="s">
        <v>515</v>
      </c>
      <c r="Q1038" s="133">
        <v>3371</v>
      </c>
      <c r="R1038" s="327" t="s">
        <v>515</v>
      </c>
      <c r="S1038" s="133">
        <v>3375</v>
      </c>
      <c r="T1038" s="327" t="s">
        <v>515</v>
      </c>
      <c r="U1038" s="133">
        <v>1503</v>
      </c>
      <c r="V1038" s="327" t="s">
        <v>515</v>
      </c>
      <c r="W1038" s="133">
        <v>1570</v>
      </c>
      <c r="X1038" s="133" t="s">
        <v>515</v>
      </c>
      <c r="Y1038" s="133">
        <v>1385</v>
      </c>
      <c r="Z1038" s="327" t="s">
        <v>515</v>
      </c>
      <c r="AA1038" s="133">
        <v>1359</v>
      </c>
      <c r="AB1038" s="133" t="s">
        <v>515</v>
      </c>
      <c r="AC1038" s="133">
        <v>1579</v>
      </c>
      <c r="AD1038" s="327" t="s">
        <v>515</v>
      </c>
      <c r="AE1038" s="133">
        <v>2616</v>
      </c>
      <c r="AF1038" s="133" t="s">
        <v>515</v>
      </c>
      <c r="AG1038" s="133">
        <v>3435</v>
      </c>
      <c r="AH1038" s="327" t="s">
        <v>515</v>
      </c>
      <c r="AI1038" s="133">
        <v>0</v>
      </c>
      <c r="AJ1038" s="133" t="s">
        <v>515</v>
      </c>
      <c r="AK1038" s="133">
        <v>2543</v>
      </c>
      <c r="AL1038" s="327" t="s">
        <v>515</v>
      </c>
      <c r="AM1038" s="327">
        <f t="shared" si="25"/>
        <v>28052</v>
      </c>
    </row>
    <row r="1039" spans="1:39" ht="18" customHeight="1" x14ac:dyDescent="0.3">
      <c r="A1039" s="424">
        <f t="shared" si="26"/>
        <v>701</v>
      </c>
      <c r="B1039" s="422" t="s">
        <v>1544</v>
      </c>
      <c r="C1039" s="11" t="s">
        <v>268</v>
      </c>
      <c r="D1039" s="11" t="s">
        <v>1736</v>
      </c>
      <c r="E1039" s="31" t="s">
        <v>144</v>
      </c>
      <c r="F1039" s="23" t="s">
        <v>49</v>
      </c>
      <c r="G1039" s="428" t="s">
        <v>336</v>
      </c>
      <c r="H1039" s="133">
        <v>120</v>
      </c>
      <c r="I1039" s="158" t="s">
        <v>1738</v>
      </c>
      <c r="J1039" s="133">
        <v>2</v>
      </c>
      <c r="K1039" s="132" t="s">
        <v>218</v>
      </c>
      <c r="L1039" s="132" t="s">
        <v>218</v>
      </c>
      <c r="M1039" s="12">
        <v>14943.91</v>
      </c>
      <c r="N1039" s="133">
        <v>15062.51</v>
      </c>
      <c r="O1039" s="372">
        <v>1245</v>
      </c>
      <c r="P1039" s="327" t="s">
        <v>515</v>
      </c>
      <c r="Q1039" s="133">
        <v>1245</v>
      </c>
      <c r="R1039" s="327" t="s">
        <v>515</v>
      </c>
      <c r="S1039" s="133">
        <v>1245</v>
      </c>
      <c r="T1039" s="327" t="s">
        <v>515</v>
      </c>
      <c r="U1039" s="133">
        <v>1245</v>
      </c>
      <c r="V1039" s="327" t="s">
        <v>515</v>
      </c>
      <c r="W1039" s="133">
        <v>1245</v>
      </c>
      <c r="X1039" s="133" t="s">
        <v>515</v>
      </c>
      <c r="Y1039" s="133">
        <v>1245</v>
      </c>
      <c r="Z1039" s="327" t="s">
        <v>515</v>
      </c>
      <c r="AA1039" s="133">
        <v>1245</v>
      </c>
      <c r="AB1039" s="133" t="s">
        <v>515</v>
      </c>
      <c r="AC1039" s="133">
        <v>1245</v>
      </c>
      <c r="AD1039" s="327" t="s">
        <v>515</v>
      </c>
      <c r="AE1039" s="133">
        <v>1245</v>
      </c>
      <c r="AF1039" s="133" t="s">
        <v>515</v>
      </c>
      <c r="AG1039" s="133">
        <v>1245</v>
      </c>
      <c r="AH1039" s="327" t="s">
        <v>515</v>
      </c>
      <c r="AI1039" s="133">
        <v>1245</v>
      </c>
      <c r="AJ1039" s="133" t="s">
        <v>515</v>
      </c>
      <c r="AK1039" s="133">
        <v>1364</v>
      </c>
      <c r="AL1039" s="327" t="s">
        <v>515</v>
      </c>
      <c r="AM1039" s="327">
        <f t="shared" si="25"/>
        <v>15059</v>
      </c>
    </row>
    <row r="1040" spans="1:39" ht="18" customHeight="1" x14ac:dyDescent="0.3">
      <c r="A1040" s="425"/>
      <c r="B1040" s="423"/>
      <c r="C1040" s="11" t="s">
        <v>268</v>
      </c>
      <c r="D1040" s="11" t="s">
        <v>1736</v>
      </c>
      <c r="E1040" s="31" t="s">
        <v>48</v>
      </c>
      <c r="F1040" s="23" t="s">
        <v>49</v>
      </c>
      <c r="G1040" s="429"/>
      <c r="H1040" s="133"/>
      <c r="I1040" s="158" t="s">
        <v>1738</v>
      </c>
      <c r="J1040" s="133"/>
      <c r="K1040" s="132" t="s">
        <v>218</v>
      </c>
      <c r="L1040" s="132" t="s">
        <v>218</v>
      </c>
      <c r="M1040" s="12">
        <v>828316.09</v>
      </c>
      <c r="N1040" s="133">
        <v>732897.48</v>
      </c>
      <c r="O1040" s="372">
        <v>65595</v>
      </c>
      <c r="P1040" s="327" t="s">
        <v>515</v>
      </c>
      <c r="Q1040" s="133">
        <v>84675</v>
      </c>
      <c r="R1040" s="327" t="s">
        <v>515</v>
      </c>
      <c r="S1040" s="133">
        <v>84675</v>
      </c>
      <c r="T1040" s="327" t="s">
        <v>515</v>
      </c>
      <c r="U1040" s="133">
        <v>49215</v>
      </c>
      <c r="V1040" s="327" t="s">
        <v>515</v>
      </c>
      <c r="W1040" s="133">
        <v>39255</v>
      </c>
      <c r="X1040" s="133" t="s">
        <v>515</v>
      </c>
      <c r="Y1040" s="133">
        <v>41955</v>
      </c>
      <c r="Z1040" s="327" t="s">
        <v>515</v>
      </c>
      <c r="AA1040" s="133">
        <v>41055</v>
      </c>
      <c r="AB1040" s="133" t="s">
        <v>515</v>
      </c>
      <c r="AC1040" s="133">
        <v>35835</v>
      </c>
      <c r="AD1040" s="327" t="s">
        <v>515</v>
      </c>
      <c r="AE1040" s="133">
        <v>50415</v>
      </c>
      <c r="AF1040" s="133" t="s">
        <v>515</v>
      </c>
      <c r="AG1040" s="133">
        <v>65235</v>
      </c>
      <c r="AH1040" s="327" t="s">
        <v>515</v>
      </c>
      <c r="AI1040" s="133">
        <v>67395</v>
      </c>
      <c r="AJ1040" s="133" t="s">
        <v>515</v>
      </c>
      <c r="AK1040" s="133">
        <v>77956</v>
      </c>
      <c r="AL1040" s="327" t="s">
        <v>515</v>
      </c>
      <c r="AM1040" s="327">
        <f t="shared" si="25"/>
        <v>703261</v>
      </c>
    </row>
    <row r="1041" spans="1:39" ht="18" customHeight="1" x14ac:dyDescent="0.3">
      <c r="A1041" s="424">
        <f t="shared" si="26"/>
        <v>702</v>
      </c>
      <c r="B1041" s="422" t="s">
        <v>1545</v>
      </c>
      <c r="C1041" s="11" t="s">
        <v>268</v>
      </c>
      <c r="D1041" s="11" t="s">
        <v>1736</v>
      </c>
      <c r="E1041" s="31" t="s">
        <v>144</v>
      </c>
      <c r="F1041" s="23" t="s">
        <v>49</v>
      </c>
      <c r="G1041" s="426" t="s">
        <v>1737</v>
      </c>
      <c r="H1041" s="133">
        <v>217</v>
      </c>
      <c r="I1041" s="158" t="s">
        <v>1738</v>
      </c>
      <c r="J1041" s="133">
        <v>7</v>
      </c>
      <c r="K1041" s="132" t="s">
        <v>218</v>
      </c>
      <c r="L1041" s="132" t="s">
        <v>218</v>
      </c>
      <c r="M1041" s="12">
        <v>23150</v>
      </c>
      <c r="N1041" s="133">
        <v>25800</v>
      </c>
      <c r="O1041" s="372">
        <v>2295</v>
      </c>
      <c r="P1041" s="327" t="s">
        <v>515</v>
      </c>
      <c r="Q1041" s="133">
        <v>2415</v>
      </c>
      <c r="R1041" s="327" t="s">
        <v>515</v>
      </c>
      <c r="S1041" s="133">
        <v>2010</v>
      </c>
      <c r="T1041" s="327" t="s">
        <v>515</v>
      </c>
      <c r="U1041" s="133">
        <v>2775</v>
      </c>
      <c r="V1041" s="327" t="s">
        <v>515</v>
      </c>
      <c r="W1041" s="133">
        <v>2535</v>
      </c>
      <c r="X1041" s="133" t="s">
        <v>515</v>
      </c>
      <c r="Y1041" s="133">
        <v>1425</v>
      </c>
      <c r="Z1041" s="327" t="s">
        <v>515</v>
      </c>
      <c r="AA1041" s="133">
        <v>2190</v>
      </c>
      <c r="AB1041" s="133" t="s">
        <v>515</v>
      </c>
      <c r="AC1041" s="133">
        <v>1845</v>
      </c>
      <c r="AD1041" s="327" t="s">
        <v>515</v>
      </c>
      <c r="AE1041" s="133">
        <v>1950</v>
      </c>
      <c r="AF1041" s="133" t="s">
        <v>515</v>
      </c>
      <c r="AG1041" s="133">
        <v>2055</v>
      </c>
      <c r="AH1041" s="327" t="s">
        <v>515</v>
      </c>
      <c r="AI1041" s="133">
        <v>2415</v>
      </c>
      <c r="AJ1041" s="133" t="s">
        <v>515</v>
      </c>
      <c r="AK1041" s="133">
        <v>1890</v>
      </c>
      <c r="AL1041" s="327" t="s">
        <v>515</v>
      </c>
      <c r="AM1041" s="327">
        <f t="shared" si="25"/>
        <v>25800</v>
      </c>
    </row>
    <row r="1042" spans="1:39" ht="18" customHeight="1" x14ac:dyDescent="0.3">
      <c r="A1042" s="425"/>
      <c r="B1042" s="423"/>
      <c r="C1042" s="11" t="s">
        <v>268</v>
      </c>
      <c r="D1042" s="11" t="s">
        <v>1736</v>
      </c>
      <c r="E1042" s="31" t="s">
        <v>48</v>
      </c>
      <c r="F1042" s="23" t="s">
        <v>49</v>
      </c>
      <c r="G1042" s="427"/>
      <c r="H1042" s="133"/>
      <c r="I1042" s="158" t="s">
        <v>1738</v>
      </c>
      <c r="J1042" s="133"/>
      <c r="K1042" s="132" t="s">
        <v>218</v>
      </c>
      <c r="L1042" s="132" t="s">
        <v>218</v>
      </c>
      <c r="M1042" s="12">
        <v>14346</v>
      </c>
      <c r="N1042" s="133">
        <v>19675</v>
      </c>
      <c r="O1042" s="372">
        <v>2226</v>
      </c>
      <c r="P1042" s="327" t="s">
        <v>515</v>
      </c>
      <c r="Q1042" s="133">
        <v>2747</v>
      </c>
      <c r="R1042" s="327" t="s">
        <v>515</v>
      </c>
      <c r="S1042" s="133">
        <v>3152</v>
      </c>
      <c r="T1042" s="327" t="s">
        <v>515</v>
      </c>
      <c r="U1042" s="133">
        <v>636</v>
      </c>
      <c r="V1042" s="327" t="s">
        <v>515</v>
      </c>
      <c r="W1042" s="133">
        <v>1156</v>
      </c>
      <c r="X1042" s="133" t="s">
        <v>515</v>
      </c>
      <c r="Y1042" s="133">
        <v>1012</v>
      </c>
      <c r="Z1042" s="327" t="s">
        <v>515</v>
      </c>
      <c r="AA1042" s="133">
        <v>1210</v>
      </c>
      <c r="AB1042" s="133" t="s">
        <v>515</v>
      </c>
      <c r="AC1042" s="133">
        <v>1318</v>
      </c>
      <c r="AD1042" s="327" t="s">
        <v>515</v>
      </c>
      <c r="AE1042" s="133">
        <v>1490</v>
      </c>
      <c r="AF1042" s="133" t="s">
        <v>515</v>
      </c>
      <c r="AG1042" s="133">
        <v>1513</v>
      </c>
      <c r="AH1042" s="327" t="s">
        <v>515</v>
      </c>
      <c r="AI1042" s="133">
        <v>2154</v>
      </c>
      <c r="AJ1042" s="133" t="s">
        <v>515</v>
      </c>
      <c r="AK1042" s="133">
        <v>2007</v>
      </c>
      <c r="AL1042" s="327" t="s">
        <v>515</v>
      </c>
      <c r="AM1042" s="327">
        <f t="shared" si="25"/>
        <v>20621</v>
      </c>
    </row>
    <row r="1043" spans="1:39" ht="18" customHeight="1" x14ac:dyDescent="0.3">
      <c r="A1043" s="424">
        <f t="shared" si="26"/>
        <v>703</v>
      </c>
      <c r="B1043" s="422" t="s">
        <v>1546</v>
      </c>
      <c r="C1043" s="11" t="s">
        <v>268</v>
      </c>
      <c r="D1043" s="11" t="s">
        <v>1736</v>
      </c>
      <c r="E1043" s="31" t="s">
        <v>144</v>
      </c>
      <c r="F1043" s="23" t="s">
        <v>49</v>
      </c>
      <c r="G1043" s="428" t="s">
        <v>336</v>
      </c>
      <c r="H1043" s="133">
        <v>325</v>
      </c>
      <c r="I1043" s="158" t="s">
        <v>1738</v>
      </c>
      <c r="J1043" s="133">
        <v>4</v>
      </c>
      <c r="K1043" s="132" t="s">
        <v>218</v>
      </c>
      <c r="L1043" s="132" t="s">
        <v>218</v>
      </c>
      <c r="M1043" s="12">
        <v>16871</v>
      </c>
      <c r="N1043" s="133">
        <v>20558</v>
      </c>
      <c r="O1043" s="372">
        <v>1586</v>
      </c>
      <c r="P1043" s="327" t="s">
        <v>515</v>
      </c>
      <c r="Q1043" s="133">
        <v>1726</v>
      </c>
      <c r="R1043" s="327" t="s">
        <v>515</v>
      </c>
      <c r="S1043" s="133">
        <v>1504</v>
      </c>
      <c r="T1043" s="327" t="s">
        <v>515</v>
      </c>
      <c r="U1043" s="133">
        <v>1896</v>
      </c>
      <c r="V1043" s="327" t="s">
        <v>515</v>
      </c>
      <c r="W1043" s="133">
        <v>1721</v>
      </c>
      <c r="X1043" s="133" t="s">
        <v>515</v>
      </c>
      <c r="Y1043" s="133">
        <v>1577</v>
      </c>
      <c r="Z1043" s="327" t="s">
        <v>515</v>
      </c>
      <c r="AA1043" s="133">
        <v>1926</v>
      </c>
      <c r="AB1043" s="133" t="s">
        <v>515</v>
      </c>
      <c r="AC1043" s="133">
        <v>1668</v>
      </c>
      <c r="AD1043" s="327" t="s">
        <v>515</v>
      </c>
      <c r="AE1043" s="133">
        <v>1645</v>
      </c>
      <c r="AF1043" s="133" t="s">
        <v>515</v>
      </c>
      <c r="AG1043" s="133">
        <v>1872</v>
      </c>
      <c r="AH1043" s="327" t="s">
        <v>515</v>
      </c>
      <c r="AI1043" s="133">
        <v>1786</v>
      </c>
      <c r="AJ1043" s="133" t="s">
        <v>515</v>
      </c>
      <c r="AK1043" s="133">
        <v>1651</v>
      </c>
      <c r="AL1043" s="327" t="s">
        <v>515</v>
      </c>
      <c r="AM1043" s="327">
        <f t="shared" si="25"/>
        <v>20558</v>
      </c>
    </row>
    <row r="1044" spans="1:39" ht="18" customHeight="1" x14ac:dyDescent="0.3">
      <c r="A1044" s="425"/>
      <c r="B1044" s="423"/>
      <c r="C1044" s="11" t="s">
        <v>268</v>
      </c>
      <c r="D1044" s="11" t="s">
        <v>1736</v>
      </c>
      <c r="E1044" s="31" t="s">
        <v>48</v>
      </c>
      <c r="F1044" s="23" t="s">
        <v>49</v>
      </c>
      <c r="G1044" s="429"/>
      <c r="H1044" s="133"/>
      <c r="I1044" s="158" t="s">
        <v>1738</v>
      </c>
      <c r="J1044" s="133"/>
      <c r="K1044" s="132" t="s">
        <v>218</v>
      </c>
      <c r="L1044" s="132" t="s">
        <v>218</v>
      </c>
      <c r="M1044" s="12">
        <v>18376</v>
      </c>
      <c r="N1044" s="133">
        <v>19939</v>
      </c>
      <c r="O1044" s="372">
        <v>2091</v>
      </c>
      <c r="P1044" s="327" t="s">
        <v>515</v>
      </c>
      <c r="Q1044" s="133">
        <v>2525</v>
      </c>
      <c r="R1044" s="327" t="s">
        <v>515</v>
      </c>
      <c r="S1044" s="133">
        <v>2747</v>
      </c>
      <c r="T1044" s="327" t="s">
        <v>515</v>
      </c>
      <c r="U1044" s="133">
        <v>1681</v>
      </c>
      <c r="V1044" s="327" t="s">
        <v>515</v>
      </c>
      <c r="W1044" s="133">
        <v>1556</v>
      </c>
      <c r="X1044" s="133" t="s">
        <v>515</v>
      </c>
      <c r="Y1044" s="133">
        <v>1185</v>
      </c>
      <c r="Z1044" s="327" t="s">
        <v>515</v>
      </c>
      <c r="AA1044" s="133">
        <v>1051</v>
      </c>
      <c r="AB1044" s="133" t="s">
        <v>515</v>
      </c>
      <c r="AC1044" s="133">
        <v>716</v>
      </c>
      <c r="AD1044" s="327" t="s">
        <v>515</v>
      </c>
      <c r="AE1044" s="133">
        <v>1237</v>
      </c>
      <c r="AF1044" s="133" t="s">
        <v>515</v>
      </c>
      <c r="AG1044" s="133">
        <v>1441</v>
      </c>
      <c r="AH1044" s="327" t="s">
        <v>515</v>
      </c>
      <c r="AI1044" s="133">
        <v>1267</v>
      </c>
      <c r="AJ1044" s="133" t="s">
        <v>515</v>
      </c>
      <c r="AK1044" s="133">
        <v>1826</v>
      </c>
      <c r="AL1044" s="327" t="s">
        <v>515</v>
      </c>
      <c r="AM1044" s="327">
        <f t="shared" si="25"/>
        <v>19323</v>
      </c>
    </row>
    <row r="1045" spans="1:39" ht="18" customHeight="1" x14ac:dyDescent="0.3">
      <c r="A1045" s="424">
        <f t="shared" si="26"/>
        <v>704</v>
      </c>
      <c r="B1045" s="422" t="s">
        <v>1547</v>
      </c>
      <c r="C1045" s="11" t="s">
        <v>268</v>
      </c>
      <c r="D1045" s="11" t="s">
        <v>1736</v>
      </c>
      <c r="E1045" s="31" t="s">
        <v>144</v>
      </c>
      <c r="F1045" s="23" t="s">
        <v>49</v>
      </c>
      <c r="G1045" s="426" t="s">
        <v>1737</v>
      </c>
      <c r="H1045" s="133">
        <v>533</v>
      </c>
      <c r="I1045" s="158" t="s">
        <v>1738</v>
      </c>
      <c r="J1045" s="133">
        <v>21</v>
      </c>
      <c r="K1045" s="132" t="s">
        <v>218</v>
      </c>
      <c r="L1045" s="132" t="s">
        <v>218</v>
      </c>
      <c r="M1045" s="12">
        <v>56666</v>
      </c>
      <c r="N1045" s="133">
        <v>52519</v>
      </c>
      <c r="O1045" s="372">
        <v>4710</v>
      </c>
      <c r="P1045" s="327" t="s">
        <v>515</v>
      </c>
      <c r="Q1045" s="133">
        <v>5125</v>
      </c>
      <c r="R1045" s="327" t="s">
        <v>515</v>
      </c>
      <c r="S1045" s="133">
        <v>4324</v>
      </c>
      <c r="T1045" s="327" t="s">
        <v>515</v>
      </c>
      <c r="U1045" s="133">
        <v>5488</v>
      </c>
      <c r="V1045" s="327" t="s">
        <v>515</v>
      </c>
      <c r="W1045" s="133">
        <v>4384</v>
      </c>
      <c r="X1045" s="133" t="s">
        <v>515</v>
      </c>
      <c r="Y1045" s="133">
        <v>3968</v>
      </c>
      <c r="Z1045" s="327" t="s">
        <v>515</v>
      </c>
      <c r="AA1045" s="133">
        <v>4903</v>
      </c>
      <c r="AB1045" s="133" t="s">
        <v>515</v>
      </c>
      <c r="AC1045" s="133">
        <v>4049</v>
      </c>
      <c r="AD1045" s="327" t="s">
        <v>515</v>
      </c>
      <c r="AE1045" s="133">
        <v>9610</v>
      </c>
      <c r="AF1045" s="133" t="s">
        <v>515</v>
      </c>
      <c r="AG1045" s="133">
        <v>2126</v>
      </c>
      <c r="AH1045" s="327" t="s">
        <v>515</v>
      </c>
      <c r="AI1045" s="133">
        <v>0</v>
      </c>
      <c r="AJ1045" s="133" t="s">
        <v>515</v>
      </c>
      <c r="AK1045" s="133">
        <v>3832</v>
      </c>
      <c r="AL1045" s="327" t="s">
        <v>515</v>
      </c>
      <c r="AM1045" s="327">
        <f t="shared" si="25"/>
        <v>52519</v>
      </c>
    </row>
    <row r="1046" spans="1:39" ht="18" customHeight="1" x14ac:dyDescent="0.3">
      <c r="A1046" s="425"/>
      <c r="B1046" s="423"/>
      <c r="C1046" s="11" t="s">
        <v>268</v>
      </c>
      <c r="D1046" s="11" t="s">
        <v>1736</v>
      </c>
      <c r="E1046" s="31" t="s">
        <v>48</v>
      </c>
      <c r="F1046" s="23" t="s">
        <v>49</v>
      </c>
      <c r="G1046" s="427"/>
      <c r="H1046" s="133"/>
      <c r="I1046" s="158" t="s">
        <v>1738</v>
      </c>
      <c r="J1046" s="133"/>
      <c r="K1046" s="132" t="s">
        <v>218</v>
      </c>
      <c r="L1046" s="132" t="s">
        <v>218</v>
      </c>
      <c r="M1046" s="12">
        <v>76351</v>
      </c>
      <c r="N1046" s="133">
        <v>85387</v>
      </c>
      <c r="O1046" s="372">
        <v>9707</v>
      </c>
      <c r="P1046" s="327" t="s">
        <v>515</v>
      </c>
      <c r="Q1046" s="133">
        <v>5277</v>
      </c>
      <c r="R1046" s="327" t="s">
        <v>515</v>
      </c>
      <c r="S1046" s="133">
        <v>6078</v>
      </c>
      <c r="T1046" s="327" t="s">
        <v>515</v>
      </c>
      <c r="U1046" s="133">
        <v>2308</v>
      </c>
      <c r="V1046" s="327" t="s">
        <v>515</v>
      </c>
      <c r="W1046" s="133">
        <v>4477</v>
      </c>
      <c r="X1046" s="133" t="s">
        <v>515</v>
      </c>
      <c r="Y1046" s="133">
        <v>6588</v>
      </c>
      <c r="Z1046" s="327" t="s">
        <v>515</v>
      </c>
      <c r="AA1046" s="133">
        <v>4531</v>
      </c>
      <c r="AB1046" s="133" t="s">
        <v>515</v>
      </c>
      <c r="AC1046" s="133">
        <v>3864</v>
      </c>
      <c r="AD1046" s="327" t="s">
        <v>515</v>
      </c>
      <c r="AE1046" s="133">
        <v>11145</v>
      </c>
      <c r="AF1046" s="133" t="s">
        <v>515</v>
      </c>
      <c r="AG1046" s="133">
        <v>4082</v>
      </c>
      <c r="AH1046" s="327" t="s">
        <v>515</v>
      </c>
      <c r="AI1046" s="133">
        <v>11328</v>
      </c>
      <c r="AJ1046" s="133" t="s">
        <v>515</v>
      </c>
      <c r="AK1046" s="133">
        <v>7875</v>
      </c>
      <c r="AL1046" s="327" t="s">
        <v>515</v>
      </c>
      <c r="AM1046" s="327">
        <f t="shared" si="25"/>
        <v>77260</v>
      </c>
    </row>
    <row r="1047" spans="1:39" ht="18" customHeight="1" x14ac:dyDescent="0.3">
      <c r="A1047" s="424">
        <f t="shared" si="26"/>
        <v>705</v>
      </c>
      <c r="B1047" s="422" t="s">
        <v>1548</v>
      </c>
      <c r="C1047" s="11" t="s">
        <v>268</v>
      </c>
      <c r="D1047" s="11" t="s">
        <v>1736</v>
      </c>
      <c r="E1047" s="31" t="s">
        <v>144</v>
      </c>
      <c r="F1047" s="23" t="s">
        <v>49</v>
      </c>
      <c r="G1047" s="428" t="s">
        <v>336</v>
      </c>
      <c r="H1047" s="133">
        <v>481</v>
      </c>
      <c r="I1047" s="158" t="s">
        <v>1738</v>
      </c>
      <c r="J1047" s="133">
        <v>22</v>
      </c>
      <c r="K1047" s="132" t="s">
        <v>218</v>
      </c>
      <c r="L1047" s="132" t="s">
        <v>218</v>
      </c>
      <c r="M1047" s="12">
        <v>70797</v>
      </c>
      <c r="N1047" s="133">
        <v>69468</v>
      </c>
      <c r="O1047" s="372">
        <v>5920</v>
      </c>
      <c r="P1047" s="327" t="s">
        <v>515</v>
      </c>
      <c r="Q1047" s="133">
        <v>6318</v>
      </c>
      <c r="R1047" s="327" t="s">
        <v>515</v>
      </c>
      <c r="S1047" s="133">
        <v>5372</v>
      </c>
      <c r="T1047" s="327" t="s">
        <v>515</v>
      </c>
      <c r="U1047" s="133">
        <v>6766</v>
      </c>
      <c r="V1047" s="327" t="s">
        <v>515</v>
      </c>
      <c r="W1047" s="133">
        <v>5806</v>
      </c>
      <c r="X1047" s="133" t="s">
        <v>515</v>
      </c>
      <c r="Y1047" s="133">
        <v>5209</v>
      </c>
      <c r="Z1047" s="327" t="s">
        <v>515</v>
      </c>
      <c r="AA1047" s="133">
        <v>5988</v>
      </c>
      <c r="AB1047" s="133" t="s">
        <v>515</v>
      </c>
      <c r="AC1047" s="133">
        <v>4823</v>
      </c>
      <c r="AD1047" s="327" t="s">
        <v>515</v>
      </c>
      <c r="AE1047" s="133">
        <v>5726</v>
      </c>
      <c r="AF1047" s="133" t="s">
        <v>515</v>
      </c>
      <c r="AG1047" s="133">
        <v>6032</v>
      </c>
      <c r="AH1047" s="327" t="s">
        <v>515</v>
      </c>
      <c r="AI1047" s="133">
        <v>6112</v>
      </c>
      <c r="AJ1047" s="133" t="s">
        <v>515</v>
      </c>
      <c r="AK1047" s="133">
        <v>5396</v>
      </c>
      <c r="AL1047" s="327" t="s">
        <v>515</v>
      </c>
      <c r="AM1047" s="327">
        <f t="shared" si="25"/>
        <v>69468</v>
      </c>
    </row>
    <row r="1048" spans="1:39" ht="18" customHeight="1" x14ac:dyDescent="0.3">
      <c r="A1048" s="425"/>
      <c r="B1048" s="423"/>
      <c r="C1048" s="11" t="s">
        <v>268</v>
      </c>
      <c r="D1048" s="11" t="s">
        <v>1736</v>
      </c>
      <c r="E1048" s="31" t="s">
        <v>48</v>
      </c>
      <c r="F1048" s="23" t="s">
        <v>49</v>
      </c>
      <c r="G1048" s="430"/>
      <c r="H1048" s="133"/>
      <c r="I1048" s="158" t="s">
        <v>1738</v>
      </c>
      <c r="J1048" s="133"/>
      <c r="K1048" s="132" t="s">
        <v>218</v>
      </c>
      <c r="L1048" s="132" t="s">
        <v>218</v>
      </c>
      <c r="M1048" s="12">
        <v>80584</v>
      </c>
      <c r="N1048" s="133">
        <v>73517</v>
      </c>
      <c r="O1048" s="372">
        <v>10660</v>
      </c>
      <c r="P1048" s="327" t="s">
        <v>515</v>
      </c>
      <c r="Q1048" s="133">
        <v>5613</v>
      </c>
      <c r="R1048" s="327" t="s">
        <v>515</v>
      </c>
      <c r="S1048" s="133">
        <v>6559</v>
      </c>
      <c r="T1048" s="327" t="s">
        <v>515</v>
      </c>
      <c r="U1048" s="133">
        <v>2827</v>
      </c>
      <c r="V1048" s="327" t="s">
        <v>515</v>
      </c>
      <c r="W1048" s="133">
        <v>4450</v>
      </c>
      <c r="X1048" s="133" t="s">
        <v>515</v>
      </c>
      <c r="Y1048" s="133">
        <v>3054</v>
      </c>
      <c r="Z1048" s="327" t="s">
        <v>515</v>
      </c>
      <c r="AA1048" s="133">
        <v>3387</v>
      </c>
      <c r="AB1048" s="133" t="s">
        <v>515</v>
      </c>
      <c r="AC1048" s="133">
        <v>3363</v>
      </c>
      <c r="AD1048" s="327" t="s">
        <v>515</v>
      </c>
      <c r="AE1048" s="133">
        <v>4360</v>
      </c>
      <c r="AF1048" s="133" t="s">
        <v>515</v>
      </c>
      <c r="AG1048" s="133">
        <v>6456</v>
      </c>
      <c r="AH1048" s="327" t="s">
        <v>515</v>
      </c>
      <c r="AI1048" s="133">
        <v>8206</v>
      </c>
      <c r="AJ1048" s="133" t="s">
        <v>515</v>
      </c>
      <c r="AK1048" s="133">
        <v>8116</v>
      </c>
      <c r="AL1048" s="327" t="s">
        <v>515</v>
      </c>
      <c r="AM1048" s="327">
        <f t="shared" si="25"/>
        <v>67051</v>
      </c>
    </row>
    <row r="1049" spans="1:39" ht="18" customHeight="1" x14ac:dyDescent="0.3">
      <c r="A1049" s="424">
        <f t="shared" si="26"/>
        <v>706</v>
      </c>
      <c r="B1049" s="422" t="s">
        <v>1549</v>
      </c>
      <c r="C1049" s="11" t="s">
        <v>268</v>
      </c>
      <c r="D1049" s="11" t="s">
        <v>1736</v>
      </c>
      <c r="E1049" s="31" t="s">
        <v>144</v>
      </c>
      <c r="F1049" s="23" t="s">
        <v>49</v>
      </c>
      <c r="G1049" s="426" t="s">
        <v>1737</v>
      </c>
      <c r="H1049" s="133">
        <v>260</v>
      </c>
      <c r="I1049" s="158" t="s">
        <v>1738</v>
      </c>
      <c r="J1049" s="133">
        <v>7</v>
      </c>
      <c r="K1049" s="132" t="s">
        <v>218</v>
      </c>
      <c r="L1049" s="132" t="s">
        <v>218</v>
      </c>
      <c r="M1049" s="12">
        <v>27850</v>
      </c>
      <c r="N1049" s="133">
        <v>25640</v>
      </c>
      <c r="O1049" s="372">
        <v>2200</v>
      </c>
      <c r="P1049" s="327" t="s">
        <v>515</v>
      </c>
      <c r="Q1049" s="133">
        <v>2640</v>
      </c>
      <c r="R1049" s="327" t="s">
        <v>515</v>
      </c>
      <c r="S1049" s="133">
        <v>2260</v>
      </c>
      <c r="T1049" s="327" t="s">
        <v>515</v>
      </c>
      <c r="U1049" s="133">
        <v>2560</v>
      </c>
      <c r="V1049" s="327" t="s">
        <v>515</v>
      </c>
      <c r="W1049" s="133">
        <v>1920</v>
      </c>
      <c r="X1049" s="133" t="s">
        <v>515</v>
      </c>
      <c r="Y1049" s="133">
        <v>1890</v>
      </c>
      <c r="Z1049" s="327" t="s">
        <v>515</v>
      </c>
      <c r="AA1049" s="133">
        <v>2290</v>
      </c>
      <c r="AB1049" s="133" t="s">
        <v>515</v>
      </c>
      <c r="AC1049" s="133">
        <v>1700</v>
      </c>
      <c r="AD1049" s="327" t="s">
        <v>515</v>
      </c>
      <c r="AE1049" s="133">
        <v>1960</v>
      </c>
      <c r="AF1049" s="133" t="s">
        <v>515</v>
      </c>
      <c r="AG1049" s="133">
        <v>1910</v>
      </c>
      <c r="AH1049" s="327" t="s">
        <v>515</v>
      </c>
      <c r="AI1049" s="133">
        <v>2400</v>
      </c>
      <c r="AJ1049" s="133" t="s">
        <v>515</v>
      </c>
      <c r="AK1049" s="133">
        <v>1910</v>
      </c>
      <c r="AL1049" s="327" t="s">
        <v>515</v>
      </c>
      <c r="AM1049" s="327">
        <f t="shared" si="25"/>
        <v>25640</v>
      </c>
    </row>
    <row r="1050" spans="1:39" ht="18" customHeight="1" x14ac:dyDescent="0.3">
      <c r="A1050" s="425"/>
      <c r="B1050" s="423"/>
      <c r="C1050" s="11" t="s">
        <v>268</v>
      </c>
      <c r="D1050" s="11" t="s">
        <v>1736</v>
      </c>
      <c r="E1050" s="31" t="s">
        <v>48</v>
      </c>
      <c r="F1050" s="23" t="s">
        <v>49</v>
      </c>
      <c r="G1050" s="427"/>
      <c r="H1050" s="133"/>
      <c r="I1050" s="158" t="s">
        <v>1738</v>
      </c>
      <c r="J1050" s="133"/>
      <c r="K1050" s="132" t="s">
        <v>218</v>
      </c>
      <c r="L1050" s="132" t="s">
        <v>218</v>
      </c>
      <c r="M1050" s="12">
        <v>15721</v>
      </c>
      <c r="N1050" s="133">
        <v>15482</v>
      </c>
      <c r="O1050" s="372">
        <v>1454</v>
      </c>
      <c r="P1050" s="327" t="s">
        <v>515</v>
      </c>
      <c r="Q1050" s="133">
        <v>1495</v>
      </c>
      <c r="R1050" s="327" t="s">
        <v>515</v>
      </c>
      <c r="S1050" s="133">
        <v>1875</v>
      </c>
      <c r="T1050" s="327" t="s">
        <v>515</v>
      </c>
      <c r="U1050" s="133">
        <v>963</v>
      </c>
      <c r="V1050" s="327" t="s">
        <v>515</v>
      </c>
      <c r="W1050" s="133">
        <v>886</v>
      </c>
      <c r="X1050" s="133" t="s">
        <v>515</v>
      </c>
      <c r="Y1050" s="133">
        <v>703</v>
      </c>
      <c r="Z1050" s="327" t="s">
        <v>515</v>
      </c>
      <c r="AA1050" s="133">
        <v>980</v>
      </c>
      <c r="AB1050" s="133" t="s">
        <v>515</v>
      </c>
      <c r="AC1050" s="133">
        <v>974</v>
      </c>
      <c r="AD1050" s="327" t="s">
        <v>515</v>
      </c>
      <c r="AE1050" s="133">
        <v>1323</v>
      </c>
      <c r="AF1050" s="133" t="s">
        <v>515</v>
      </c>
      <c r="AG1050" s="133">
        <v>1200</v>
      </c>
      <c r="AH1050" s="327" t="s">
        <v>515</v>
      </c>
      <c r="AI1050" s="133">
        <v>1896</v>
      </c>
      <c r="AJ1050" s="133" t="s">
        <v>515</v>
      </c>
      <c r="AK1050" s="133">
        <v>1517</v>
      </c>
      <c r="AL1050" s="327" t="s">
        <v>515</v>
      </c>
      <c r="AM1050" s="327">
        <f t="shared" si="25"/>
        <v>15266</v>
      </c>
    </row>
    <row r="1051" spans="1:39" ht="18" customHeight="1" x14ac:dyDescent="0.3">
      <c r="A1051" s="424">
        <f t="shared" si="26"/>
        <v>707</v>
      </c>
      <c r="B1051" s="422" t="s">
        <v>1550</v>
      </c>
      <c r="C1051" s="11" t="s">
        <v>268</v>
      </c>
      <c r="D1051" s="11" t="s">
        <v>1736</v>
      </c>
      <c r="E1051" s="31" t="s">
        <v>144</v>
      </c>
      <c r="F1051" s="23" t="s">
        <v>49</v>
      </c>
      <c r="G1051" s="426" t="s">
        <v>1737</v>
      </c>
      <c r="H1051" s="133">
        <v>260</v>
      </c>
      <c r="I1051" s="158" t="s">
        <v>1738</v>
      </c>
      <c r="J1051" s="133">
        <v>7</v>
      </c>
      <c r="K1051" s="132" t="s">
        <v>218</v>
      </c>
      <c r="L1051" s="132" t="s">
        <v>218</v>
      </c>
      <c r="M1051" s="12">
        <v>25300</v>
      </c>
      <c r="N1051" s="133">
        <v>26120</v>
      </c>
      <c r="O1051" s="372">
        <v>2110</v>
      </c>
      <c r="P1051" s="327" t="s">
        <v>515</v>
      </c>
      <c r="Q1051" s="133">
        <v>2500</v>
      </c>
      <c r="R1051" s="327" t="s">
        <v>515</v>
      </c>
      <c r="S1051" s="133">
        <v>2400</v>
      </c>
      <c r="T1051" s="327" t="s">
        <v>515</v>
      </c>
      <c r="U1051" s="133">
        <v>2790</v>
      </c>
      <c r="V1051" s="327" t="s">
        <v>515</v>
      </c>
      <c r="W1051" s="133">
        <v>2000</v>
      </c>
      <c r="X1051" s="133" t="s">
        <v>515</v>
      </c>
      <c r="Y1051" s="133">
        <v>1810</v>
      </c>
      <c r="Z1051" s="327" t="s">
        <v>515</v>
      </c>
      <c r="AA1051" s="133">
        <v>2470</v>
      </c>
      <c r="AB1051" s="133" t="s">
        <v>515</v>
      </c>
      <c r="AC1051" s="133">
        <v>1870</v>
      </c>
      <c r="AD1051" s="327" t="s">
        <v>515</v>
      </c>
      <c r="AE1051" s="133">
        <v>2020</v>
      </c>
      <c r="AF1051" s="133" t="s">
        <v>515</v>
      </c>
      <c r="AG1051" s="133">
        <v>1900</v>
      </c>
      <c r="AH1051" s="327" t="s">
        <v>515</v>
      </c>
      <c r="AI1051" s="133">
        <v>2430</v>
      </c>
      <c r="AJ1051" s="133" t="s">
        <v>515</v>
      </c>
      <c r="AK1051" s="133">
        <v>1820</v>
      </c>
      <c r="AL1051" s="327" t="s">
        <v>515</v>
      </c>
      <c r="AM1051" s="327">
        <f t="shared" si="25"/>
        <v>26120</v>
      </c>
    </row>
    <row r="1052" spans="1:39" ht="18" customHeight="1" x14ac:dyDescent="0.3">
      <c r="A1052" s="425"/>
      <c r="B1052" s="423"/>
      <c r="C1052" s="11" t="s">
        <v>268</v>
      </c>
      <c r="D1052" s="11" t="s">
        <v>1736</v>
      </c>
      <c r="E1052" s="31" t="s">
        <v>48</v>
      </c>
      <c r="F1052" s="23" t="s">
        <v>49</v>
      </c>
      <c r="G1052" s="427"/>
      <c r="H1052" s="133"/>
      <c r="I1052" s="158" t="s">
        <v>1738</v>
      </c>
      <c r="J1052" s="133"/>
      <c r="K1052" s="132" t="s">
        <v>218</v>
      </c>
      <c r="L1052" s="132" t="s">
        <v>218</v>
      </c>
      <c r="M1052" s="12">
        <v>13947</v>
      </c>
      <c r="N1052" s="133">
        <v>14423</v>
      </c>
      <c r="O1052" s="372">
        <v>1593</v>
      </c>
      <c r="P1052" s="327" t="s">
        <v>515</v>
      </c>
      <c r="Q1052" s="133">
        <v>1687</v>
      </c>
      <c r="R1052" s="327" t="s">
        <v>515</v>
      </c>
      <c r="S1052" s="133">
        <v>2387</v>
      </c>
      <c r="T1052" s="327" t="s">
        <v>515</v>
      </c>
      <c r="U1052" s="133">
        <v>490</v>
      </c>
      <c r="V1052" s="327" t="s">
        <v>515</v>
      </c>
      <c r="W1052" s="133">
        <v>937</v>
      </c>
      <c r="X1052" s="133" t="s">
        <v>515</v>
      </c>
      <c r="Y1052" s="133">
        <v>872</v>
      </c>
      <c r="Z1052" s="327" t="s">
        <v>515</v>
      </c>
      <c r="AA1052" s="133">
        <v>878</v>
      </c>
      <c r="AB1052" s="133" t="s">
        <v>515</v>
      </c>
      <c r="AC1052" s="133">
        <v>853</v>
      </c>
      <c r="AD1052" s="327" t="s">
        <v>515</v>
      </c>
      <c r="AE1052" s="133">
        <v>1083</v>
      </c>
      <c r="AF1052" s="133" t="s">
        <v>515</v>
      </c>
      <c r="AG1052" s="133">
        <v>1114</v>
      </c>
      <c r="AH1052" s="327" t="s">
        <v>515</v>
      </c>
      <c r="AI1052" s="133">
        <v>1495</v>
      </c>
      <c r="AJ1052" s="133" t="s">
        <v>515</v>
      </c>
      <c r="AK1052" s="133">
        <v>1475</v>
      </c>
      <c r="AL1052" s="327" t="s">
        <v>515</v>
      </c>
      <c r="AM1052" s="327">
        <f t="shared" si="25"/>
        <v>14864</v>
      </c>
    </row>
    <row r="1053" spans="1:39" ht="18" customHeight="1" x14ac:dyDescent="0.3">
      <c r="A1053" s="424">
        <f t="shared" si="26"/>
        <v>708</v>
      </c>
      <c r="B1053" s="422" t="s">
        <v>1551</v>
      </c>
      <c r="C1053" s="11" t="s">
        <v>268</v>
      </c>
      <c r="D1053" s="11" t="s">
        <v>1736</v>
      </c>
      <c r="E1053" s="31" t="s">
        <v>144</v>
      </c>
      <c r="F1053" s="23" t="s">
        <v>49</v>
      </c>
      <c r="G1053" s="426" t="s">
        <v>1737</v>
      </c>
      <c r="H1053" s="133">
        <v>198</v>
      </c>
      <c r="I1053" s="158" t="s">
        <v>1738</v>
      </c>
      <c r="J1053" s="133">
        <v>2</v>
      </c>
      <c r="K1053" s="132" t="s">
        <v>218</v>
      </c>
      <c r="L1053" s="132" t="s">
        <v>218</v>
      </c>
      <c r="M1053" s="12">
        <v>9483</v>
      </c>
      <c r="N1053" s="133">
        <v>8399</v>
      </c>
      <c r="O1053" s="372">
        <v>781</v>
      </c>
      <c r="P1053" s="327" t="s">
        <v>515</v>
      </c>
      <c r="Q1053" s="133">
        <v>853</v>
      </c>
      <c r="R1053" s="327" t="s">
        <v>515</v>
      </c>
      <c r="S1053" s="133">
        <v>770</v>
      </c>
      <c r="T1053" s="327" t="s">
        <v>515</v>
      </c>
      <c r="U1053" s="133">
        <v>867</v>
      </c>
      <c r="V1053" s="327" t="s">
        <v>515</v>
      </c>
      <c r="W1053" s="133">
        <v>759</v>
      </c>
      <c r="X1053" s="133" t="s">
        <v>515</v>
      </c>
      <c r="Y1053" s="133">
        <v>701</v>
      </c>
      <c r="Z1053" s="327" t="s">
        <v>515</v>
      </c>
      <c r="AA1053" s="133">
        <v>865</v>
      </c>
      <c r="AB1053" s="133" t="s">
        <v>515</v>
      </c>
      <c r="AC1053" s="133">
        <v>669</v>
      </c>
      <c r="AD1053" s="327" t="s">
        <v>515</v>
      </c>
      <c r="AE1053" s="133">
        <v>722</v>
      </c>
      <c r="AF1053" s="133" t="s">
        <v>515</v>
      </c>
      <c r="AG1053" s="133">
        <v>711</v>
      </c>
      <c r="AH1053" s="327" t="s">
        <v>515</v>
      </c>
      <c r="AI1053" s="133">
        <v>0</v>
      </c>
      <c r="AJ1053" s="133" t="s">
        <v>515</v>
      </c>
      <c r="AK1053" s="133">
        <v>701</v>
      </c>
      <c r="AL1053" s="327" t="s">
        <v>515</v>
      </c>
      <c r="AM1053" s="327">
        <f t="shared" si="25"/>
        <v>8399</v>
      </c>
    </row>
    <row r="1054" spans="1:39" ht="18" customHeight="1" x14ac:dyDescent="0.3">
      <c r="A1054" s="425"/>
      <c r="B1054" s="423"/>
      <c r="C1054" s="11" t="s">
        <v>268</v>
      </c>
      <c r="D1054" s="11" t="s">
        <v>1736</v>
      </c>
      <c r="E1054" s="31" t="s">
        <v>48</v>
      </c>
      <c r="F1054" s="23" t="s">
        <v>49</v>
      </c>
      <c r="G1054" s="427"/>
      <c r="H1054" s="133"/>
      <c r="I1054" s="158" t="s">
        <v>1738</v>
      </c>
      <c r="J1054" s="133"/>
      <c r="K1054" s="132" t="s">
        <v>218</v>
      </c>
      <c r="L1054" s="132" t="s">
        <v>218</v>
      </c>
      <c r="M1054" s="12">
        <v>47569</v>
      </c>
      <c r="N1054" s="133">
        <v>43041</v>
      </c>
      <c r="O1054" s="372">
        <v>4159</v>
      </c>
      <c r="P1054" s="327" t="s">
        <v>515</v>
      </c>
      <c r="Q1054" s="133">
        <v>4676</v>
      </c>
      <c r="R1054" s="327" t="s">
        <v>515</v>
      </c>
      <c r="S1054" s="133">
        <v>4759</v>
      </c>
      <c r="T1054" s="327" t="s">
        <v>515</v>
      </c>
      <c r="U1054" s="133">
        <v>3734</v>
      </c>
      <c r="V1054" s="327" t="s">
        <v>515</v>
      </c>
      <c r="W1054" s="133">
        <v>4146</v>
      </c>
      <c r="X1054" s="133" t="s">
        <v>515</v>
      </c>
      <c r="Y1054" s="133">
        <v>3784</v>
      </c>
      <c r="Z1054" s="327" t="s">
        <v>515</v>
      </c>
      <c r="AA1054" s="133">
        <v>4038</v>
      </c>
      <c r="AB1054" s="133" t="s">
        <v>515</v>
      </c>
      <c r="AC1054" s="133">
        <v>3320</v>
      </c>
      <c r="AD1054" s="327" t="s">
        <v>515</v>
      </c>
      <c r="AE1054" s="133">
        <v>3389</v>
      </c>
      <c r="AF1054" s="133" t="s">
        <v>515</v>
      </c>
      <c r="AG1054" s="133">
        <v>3402</v>
      </c>
      <c r="AH1054" s="327" t="s">
        <v>515</v>
      </c>
      <c r="AI1054" s="133">
        <v>0</v>
      </c>
      <c r="AJ1054" s="133" t="s">
        <v>515</v>
      </c>
      <c r="AK1054" s="133">
        <v>3371</v>
      </c>
      <c r="AL1054" s="327" t="s">
        <v>515</v>
      </c>
      <c r="AM1054" s="327">
        <f t="shared" si="25"/>
        <v>42778</v>
      </c>
    </row>
    <row r="1055" spans="1:39" ht="18" customHeight="1" x14ac:dyDescent="0.3">
      <c r="A1055" s="424">
        <f t="shared" si="26"/>
        <v>709</v>
      </c>
      <c r="B1055" s="422" t="s">
        <v>1552</v>
      </c>
      <c r="C1055" s="11" t="s">
        <v>268</v>
      </c>
      <c r="D1055" s="11" t="s">
        <v>1736</v>
      </c>
      <c r="E1055" s="31" t="s">
        <v>144</v>
      </c>
      <c r="F1055" s="23" t="s">
        <v>49</v>
      </c>
      <c r="G1055" s="426" t="s">
        <v>1737</v>
      </c>
      <c r="H1055" s="133">
        <v>197</v>
      </c>
      <c r="I1055" s="158" t="s">
        <v>1738</v>
      </c>
      <c r="J1055" s="133">
        <v>8</v>
      </c>
      <c r="K1055" s="132" t="s">
        <v>218</v>
      </c>
      <c r="L1055" s="132" t="s">
        <v>218</v>
      </c>
      <c r="M1055" s="12">
        <v>52490</v>
      </c>
      <c r="N1055" s="133">
        <v>53040</v>
      </c>
      <c r="O1055" s="372">
        <v>5060</v>
      </c>
      <c r="P1055" s="327" t="s">
        <v>515</v>
      </c>
      <c r="Q1055" s="133">
        <v>4460</v>
      </c>
      <c r="R1055" s="327" t="s">
        <v>515</v>
      </c>
      <c r="S1055" s="133">
        <v>3930</v>
      </c>
      <c r="T1055" s="327" t="s">
        <v>515</v>
      </c>
      <c r="U1055" s="133">
        <v>5110</v>
      </c>
      <c r="V1055" s="327" t="s">
        <v>515</v>
      </c>
      <c r="W1055" s="133">
        <v>4180</v>
      </c>
      <c r="X1055" s="133" t="s">
        <v>515</v>
      </c>
      <c r="Y1055" s="133">
        <v>4670</v>
      </c>
      <c r="Z1055" s="327" t="s">
        <v>515</v>
      </c>
      <c r="AA1055" s="133">
        <v>3990</v>
      </c>
      <c r="AB1055" s="133" t="s">
        <v>515</v>
      </c>
      <c r="AC1055" s="133">
        <v>3990</v>
      </c>
      <c r="AD1055" s="327" t="s">
        <v>515</v>
      </c>
      <c r="AE1055" s="133">
        <v>4070</v>
      </c>
      <c r="AF1055" s="133" t="s">
        <v>515</v>
      </c>
      <c r="AG1055" s="133">
        <v>5690</v>
      </c>
      <c r="AH1055" s="327" t="s">
        <v>515</v>
      </c>
      <c r="AI1055" s="133">
        <v>3430</v>
      </c>
      <c r="AJ1055" s="133" t="s">
        <v>515</v>
      </c>
      <c r="AK1055" s="133">
        <v>4460</v>
      </c>
      <c r="AL1055" s="327" t="s">
        <v>515</v>
      </c>
      <c r="AM1055" s="327">
        <f t="shared" si="25"/>
        <v>53040</v>
      </c>
    </row>
    <row r="1056" spans="1:39" ht="18" customHeight="1" x14ac:dyDescent="0.3">
      <c r="A1056" s="425"/>
      <c r="B1056" s="423"/>
      <c r="C1056" s="11" t="s">
        <v>268</v>
      </c>
      <c r="D1056" s="11" t="s">
        <v>1736</v>
      </c>
      <c r="E1056" s="31" t="s">
        <v>48</v>
      </c>
      <c r="F1056" s="23" t="s">
        <v>49</v>
      </c>
      <c r="G1056" s="427"/>
      <c r="H1056" s="133"/>
      <c r="I1056" s="158" t="s">
        <v>1738</v>
      </c>
      <c r="J1056" s="133"/>
      <c r="K1056" s="132" t="s">
        <v>218</v>
      </c>
      <c r="L1056" s="132" t="s">
        <v>218</v>
      </c>
      <c r="M1056" s="12">
        <v>25764</v>
      </c>
      <c r="N1056" s="133">
        <v>26823</v>
      </c>
      <c r="O1056" s="372">
        <v>3615</v>
      </c>
      <c r="P1056" s="327" t="s">
        <v>515</v>
      </c>
      <c r="Q1056" s="133">
        <v>2407</v>
      </c>
      <c r="R1056" s="327" t="s">
        <v>515</v>
      </c>
      <c r="S1056" s="133">
        <v>2937</v>
      </c>
      <c r="T1056" s="327" t="s">
        <v>515</v>
      </c>
      <c r="U1056" s="133">
        <v>143</v>
      </c>
      <c r="V1056" s="327" t="s">
        <v>515</v>
      </c>
      <c r="W1056" s="133">
        <v>1483</v>
      </c>
      <c r="X1056" s="133" t="s">
        <v>515</v>
      </c>
      <c r="Y1056" s="133">
        <v>1211</v>
      </c>
      <c r="Z1056" s="327" t="s">
        <v>515</v>
      </c>
      <c r="AA1056" s="133">
        <v>1012</v>
      </c>
      <c r="AB1056" s="133" t="s">
        <v>515</v>
      </c>
      <c r="AC1056" s="133">
        <v>1272</v>
      </c>
      <c r="AD1056" s="327" t="s">
        <v>515</v>
      </c>
      <c r="AE1056" s="133">
        <v>1742</v>
      </c>
      <c r="AF1056" s="133" t="s">
        <v>515</v>
      </c>
      <c r="AG1056" s="133">
        <v>3631</v>
      </c>
      <c r="AH1056" s="327" t="s">
        <v>515</v>
      </c>
      <c r="AI1056" s="133">
        <v>2167</v>
      </c>
      <c r="AJ1056" s="133" t="s">
        <v>515</v>
      </c>
      <c r="AK1056" s="133">
        <v>3513</v>
      </c>
      <c r="AL1056" s="327" t="s">
        <v>515</v>
      </c>
      <c r="AM1056" s="327">
        <f t="shared" si="25"/>
        <v>25133</v>
      </c>
    </row>
    <row r="1057" spans="1:39" ht="18" customHeight="1" x14ac:dyDescent="0.3">
      <c r="A1057" s="424">
        <f t="shared" si="26"/>
        <v>710</v>
      </c>
      <c r="B1057" s="422" t="s">
        <v>1553</v>
      </c>
      <c r="C1057" s="11" t="s">
        <v>268</v>
      </c>
      <c r="D1057" s="11" t="s">
        <v>1736</v>
      </c>
      <c r="E1057" s="31" t="s">
        <v>144</v>
      </c>
      <c r="F1057" s="23" t="s">
        <v>49</v>
      </c>
      <c r="G1057" s="426" t="s">
        <v>1737</v>
      </c>
      <c r="H1057" s="133">
        <v>186</v>
      </c>
      <c r="I1057" s="158" t="s">
        <v>1738</v>
      </c>
      <c r="J1057" s="133">
        <v>5</v>
      </c>
      <c r="K1057" s="132" t="s">
        <v>218</v>
      </c>
      <c r="L1057" s="132" t="s">
        <v>218</v>
      </c>
      <c r="M1057" s="12">
        <v>19770</v>
      </c>
      <c r="N1057" s="133">
        <v>18570</v>
      </c>
      <c r="O1057" s="372">
        <v>1540</v>
      </c>
      <c r="P1057" s="327" t="s">
        <v>515</v>
      </c>
      <c r="Q1057" s="133">
        <v>1710</v>
      </c>
      <c r="R1057" s="327" t="s">
        <v>515</v>
      </c>
      <c r="S1057" s="133">
        <v>1590</v>
      </c>
      <c r="T1057" s="327" t="s">
        <v>515</v>
      </c>
      <c r="U1057" s="133">
        <v>1800</v>
      </c>
      <c r="V1057" s="327" t="s">
        <v>515</v>
      </c>
      <c r="W1057" s="133">
        <v>1620</v>
      </c>
      <c r="X1057" s="133" t="s">
        <v>515</v>
      </c>
      <c r="Y1057" s="133">
        <v>1430</v>
      </c>
      <c r="Z1057" s="327" t="s">
        <v>515</v>
      </c>
      <c r="AA1057" s="133">
        <v>1810</v>
      </c>
      <c r="AB1057" s="133" t="s">
        <v>515</v>
      </c>
      <c r="AC1057" s="133">
        <v>1360</v>
      </c>
      <c r="AD1057" s="327" t="s">
        <v>515</v>
      </c>
      <c r="AE1057" s="133">
        <v>1400</v>
      </c>
      <c r="AF1057" s="133" t="s">
        <v>515</v>
      </c>
      <c r="AG1057" s="133">
        <v>1360</v>
      </c>
      <c r="AH1057" s="327" t="s">
        <v>515</v>
      </c>
      <c r="AI1057" s="133">
        <v>1580</v>
      </c>
      <c r="AJ1057" s="133" t="s">
        <v>515</v>
      </c>
      <c r="AK1057" s="133">
        <v>1370</v>
      </c>
      <c r="AL1057" s="327" t="s">
        <v>515</v>
      </c>
      <c r="AM1057" s="327">
        <f t="shared" si="25"/>
        <v>18570</v>
      </c>
    </row>
    <row r="1058" spans="1:39" ht="18" customHeight="1" x14ac:dyDescent="0.3">
      <c r="A1058" s="425"/>
      <c r="B1058" s="423"/>
      <c r="C1058" s="11" t="s">
        <v>268</v>
      </c>
      <c r="D1058" s="11" t="s">
        <v>1736</v>
      </c>
      <c r="E1058" s="31" t="s">
        <v>48</v>
      </c>
      <c r="F1058" s="23" t="s">
        <v>49</v>
      </c>
      <c r="G1058" s="427"/>
      <c r="H1058" s="133"/>
      <c r="I1058" s="158" t="s">
        <v>1738</v>
      </c>
      <c r="J1058" s="133"/>
      <c r="K1058" s="132" t="s">
        <v>218</v>
      </c>
      <c r="L1058" s="132" t="s">
        <v>218</v>
      </c>
      <c r="M1058" s="12">
        <v>18711</v>
      </c>
      <c r="N1058" s="133">
        <v>15031</v>
      </c>
      <c r="O1058" s="372">
        <v>1560</v>
      </c>
      <c r="P1058" s="327" t="s">
        <v>515</v>
      </c>
      <c r="Q1058" s="133">
        <v>1147</v>
      </c>
      <c r="R1058" s="327" t="s">
        <v>515</v>
      </c>
      <c r="S1058" s="133">
        <v>1267</v>
      </c>
      <c r="T1058" s="327" t="s">
        <v>515</v>
      </c>
      <c r="U1058" s="133">
        <v>760</v>
      </c>
      <c r="V1058" s="327" t="s">
        <v>515</v>
      </c>
      <c r="W1058" s="133">
        <v>974</v>
      </c>
      <c r="X1058" s="133" t="s">
        <v>515</v>
      </c>
      <c r="Y1058" s="133">
        <v>936</v>
      </c>
      <c r="Z1058" s="327" t="s">
        <v>515</v>
      </c>
      <c r="AA1058" s="133">
        <v>1252</v>
      </c>
      <c r="AB1058" s="133" t="s">
        <v>515</v>
      </c>
      <c r="AC1058" s="133">
        <v>848</v>
      </c>
      <c r="AD1058" s="327" t="s">
        <v>515</v>
      </c>
      <c r="AE1058" s="133">
        <v>891</v>
      </c>
      <c r="AF1058" s="133" t="s">
        <v>515</v>
      </c>
      <c r="AG1058" s="133">
        <v>964</v>
      </c>
      <c r="AH1058" s="327" t="s">
        <v>515</v>
      </c>
      <c r="AI1058" s="133">
        <v>1447</v>
      </c>
      <c r="AJ1058" s="133" t="s">
        <v>515</v>
      </c>
      <c r="AK1058" s="133">
        <v>1261</v>
      </c>
      <c r="AL1058" s="327" t="s">
        <v>515</v>
      </c>
      <c r="AM1058" s="327">
        <f t="shared" si="25"/>
        <v>13307</v>
      </c>
    </row>
    <row r="1059" spans="1:39" ht="18" customHeight="1" x14ac:dyDescent="0.3">
      <c r="A1059" s="424">
        <f t="shared" si="26"/>
        <v>711</v>
      </c>
      <c r="B1059" s="422" t="s">
        <v>1554</v>
      </c>
      <c r="C1059" s="11" t="s">
        <v>268</v>
      </c>
      <c r="D1059" s="11" t="s">
        <v>1736</v>
      </c>
      <c r="E1059" s="31" t="s">
        <v>144</v>
      </c>
      <c r="F1059" s="23" t="s">
        <v>49</v>
      </c>
      <c r="G1059" s="426" t="s">
        <v>1737</v>
      </c>
      <c r="H1059" s="133">
        <v>151</v>
      </c>
      <c r="I1059" s="158" t="s">
        <v>1738</v>
      </c>
      <c r="J1059" s="133">
        <v>5</v>
      </c>
      <c r="K1059" s="132" t="s">
        <v>218</v>
      </c>
      <c r="L1059" s="132" t="s">
        <v>218</v>
      </c>
      <c r="M1059" s="12">
        <v>13873</v>
      </c>
      <c r="N1059" s="133">
        <v>12896</v>
      </c>
      <c r="O1059" s="372">
        <v>1313</v>
      </c>
      <c r="P1059" s="327" t="s">
        <v>515</v>
      </c>
      <c r="Q1059" s="133">
        <v>1115</v>
      </c>
      <c r="R1059" s="327" t="s">
        <v>515</v>
      </c>
      <c r="S1059" s="133">
        <v>1190</v>
      </c>
      <c r="T1059" s="327" t="s">
        <v>515</v>
      </c>
      <c r="U1059" s="133">
        <v>1357</v>
      </c>
      <c r="V1059" s="327" t="s">
        <v>515</v>
      </c>
      <c r="W1059" s="133">
        <v>1114</v>
      </c>
      <c r="X1059" s="133" t="s">
        <v>515</v>
      </c>
      <c r="Y1059" s="133">
        <v>1218</v>
      </c>
      <c r="Z1059" s="327" t="s">
        <v>515</v>
      </c>
      <c r="AA1059" s="133">
        <v>1067</v>
      </c>
      <c r="AB1059" s="133" t="s">
        <v>515</v>
      </c>
      <c r="AC1059" s="133">
        <v>972</v>
      </c>
      <c r="AD1059" s="327" t="s">
        <v>515</v>
      </c>
      <c r="AE1059" s="133">
        <v>1076</v>
      </c>
      <c r="AF1059" s="133" t="s">
        <v>515</v>
      </c>
      <c r="AG1059" s="133">
        <v>1344</v>
      </c>
      <c r="AH1059" s="327" t="s">
        <v>515</v>
      </c>
      <c r="AI1059" s="133">
        <v>0</v>
      </c>
      <c r="AJ1059" s="133" t="s">
        <v>515</v>
      </c>
      <c r="AK1059" s="133">
        <v>1130</v>
      </c>
      <c r="AL1059" s="327" t="s">
        <v>515</v>
      </c>
      <c r="AM1059" s="327">
        <f t="shared" si="25"/>
        <v>12896</v>
      </c>
    </row>
    <row r="1060" spans="1:39" ht="18" customHeight="1" x14ac:dyDescent="0.3">
      <c r="A1060" s="425"/>
      <c r="B1060" s="423"/>
      <c r="C1060" s="11" t="s">
        <v>268</v>
      </c>
      <c r="D1060" s="11" t="s">
        <v>1736</v>
      </c>
      <c r="E1060" s="31" t="s">
        <v>48</v>
      </c>
      <c r="F1060" s="23" t="s">
        <v>49</v>
      </c>
      <c r="G1060" s="427"/>
      <c r="H1060" s="133"/>
      <c r="I1060" s="158" t="s">
        <v>1738</v>
      </c>
      <c r="J1060" s="133"/>
      <c r="K1060" s="132" t="s">
        <v>218</v>
      </c>
      <c r="L1060" s="132" t="s">
        <v>218</v>
      </c>
      <c r="M1060" s="12">
        <v>11928</v>
      </c>
      <c r="N1060" s="133">
        <v>8229</v>
      </c>
      <c r="O1060" s="372">
        <v>1299</v>
      </c>
      <c r="P1060" s="327" t="s">
        <v>515</v>
      </c>
      <c r="Q1060" s="133">
        <v>1033</v>
      </c>
      <c r="R1060" s="327" t="s">
        <v>515</v>
      </c>
      <c r="S1060" s="133">
        <v>958</v>
      </c>
      <c r="T1060" s="327" t="s">
        <v>515</v>
      </c>
      <c r="U1060" s="133">
        <v>287</v>
      </c>
      <c r="V1060" s="327" t="s">
        <v>515</v>
      </c>
      <c r="W1060" s="133">
        <v>642</v>
      </c>
      <c r="X1060" s="133" t="s">
        <v>515</v>
      </c>
      <c r="Y1060" s="133">
        <v>534</v>
      </c>
      <c r="Z1060" s="327" t="s">
        <v>515</v>
      </c>
      <c r="AA1060" s="133">
        <v>421</v>
      </c>
      <c r="AB1060" s="133" t="s">
        <v>515</v>
      </c>
      <c r="AC1060" s="133">
        <v>441</v>
      </c>
      <c r="AD1060" s="327" t="s">
        <v>515</v>
      </c>
      <c r="AE1060" s="133">
        <v>671</v>
      </c>
      <c r="AF1060" s="133" t="s">
        <v>515</v>
      </c>
      <c r="AG1060" s="133">
        <v>932</v>
      </c>
      <c r="AH1060" s="327" t="s">
        <v>515</v>
      </c>
      <c r="AI1060" s="133">
        <v>0</v>
      </c>
      <c r="AJ1060" s="133" t="s">
        <v>515</v>
      </c>
      <c r="AK1060" s="133">
        <v>681</v>
      </c>
      <c r="AL1060" s="327" t="s">
        <v>515</v>
      </c>
      <c r="AM1060" s="327">
        <f t="shared" si="25"/>
        <v>7899</v>
      </c>
    </row>
    <row r="1061" spans="1:39" ht="18" customHeight="1" x14ac:dyDescent="0.3">
      <c r="A1061" s="424">
        <f t="shared" si="26"/>
        <v>712</v>
      </c>
      <c r="B1061" s="422" t="s">
        <v>1555</v>
      </c>
      <c r="C1061" s="11" t="s">
        <v>268</v>
      </c>
      <c r="D1061" s="11" t="s">
        <v>1736</v>
      </c>
      <c r="E1061" s="31" t="s">
        <v>144</v>
      </c>
      <c r="F1061" s="23" t="s">
        <v>49</v>
      </c>
      <c r="G1061" s="426" t="s">
        <v>1737</v>
      </c>
      <c r="H1061" s="133">
        <v>151</v>
      </c>
      <c r="I1061" s="158" t="s">
        <v>1738</v>
      </c>
      <c r="J1061" s="133">
        <v>5</v>
      </c>
      <c r="K1061" s="132" t="s">
        <v>218</v>
      </c>
      <c r="L1061" s="132" t="s">
        <v>218</v>
      </c>
      <c r="M1061" s="12">
        <v>9002</v>
      </c>
      <c r="N1061" s="133">
        <v>9354</v>
      </c>
      <c r="O1061" s="372">
        <v>830</v>
      </c>
      <c r="P1061" s="327" t="s">
        <v>515</v>
      </c>
      <c r="Q1061" s="133">
        <v>718</v>
      </c>
      <c r="R1061" s="327" t="s">
        <v>515</v>
      </c>
      <c r="S1061" s="133">
        <v>686</v>
      </c>
      <c r="T1061" s="327" t="s">
        <v>515</v>
      </c>
      <c r="U1061" s="133">
        <v>895</v>
      </c>
      <c r="V1061" s="327" t="s">
        <v>515</v>
      </c>
      <c r="W1061" s="133">
        <v>665</v>
      </c>
      <c r="X1061" s="133" t="s">
        <v>515</v>
      </c>
      <c r="Y1061" s="133">
        <v>729</v>
      </c>
      <c r="Z1061" s="327" t="s">
        <v>515</v>
      </c>
      <c r="AA1061" s="133">
        <v>655</v>
      </c>
      <c r="AB1061" s="133" t="s">
        <v>515</v>
      </c>
      <c r="AC1061" s="133">
        <v>771</v>
      </c>
      <c r="AD1061" s="327" t="s">
        <v>515</v>
      </c>
      <c r="AE1061" s="133">
        <v>860</v>
      </c>
      <c r="AF1061" s="133" t="s">
        <v>515</v>
      </c>
      <c r="AG1061" s="133">
        <v>855</v>
      </c>
      <c r="AH1061" s="327" t="s">
        <v>515</v>
      </c>
      <c r="AI1061" s="133">
        <v>896</v>
      </c>
      <c r="AJ1061" s="133" t="s">
        <v>515</v>
      </c>
      <c r="AK1061" s="133">
        <v>794</v>
      </c>
      <c r="AL1061" s="327" t="s">
        <v>515</v>
      </c>
      <c r="AM1061" s="327">
        <f t="shared" si="25"/>
        <v>9354</v>
      </c>
    </row>
    <row r="1062" spans="1:39" ht="18" customHeight="1" x14ac:dyDescent="0.3">
      <c r="A1062" s="425"/>
      <c r="B1062" s="423"/>
      <c r="C1062" s="11" t="s">
        <v>268</v>
      </c>
      <c r="D1062" s="11" t="s">
        <v>1736</v>
      </c>
      <c r="E1062" s="31" t="s">
        <v>48</v>
      </c>
      <c r="F1062" s="23" t="s">
        <v>49</v>
      </c>
      <c r="G1062" s="427"/>
      <c r="H1062" s="133"/>
      <c r="I1062" s="158" t="s">
        <v>1738</v>
      </c>
      <c r="J1062" s="133"/>
      <c r="K1062" s="132" t="s">
        <v>218</v>
      </c>
      <c r="L1062" s="132" t="s">
        <v>218</v>
      </c>
      <c r="M1062" s="12">
        <v>11996</v>
      </c>
      <c r="N1062" s="133">
        <v>11398</v>
      </c>
      <c r="O1062" s="372">
        <v>1660</v>
      </c>
      <c r="P1062" s="327" t="s">
        <v>515</v>
      </c>
      <c r="Q1062" s="133">
        <v>1215</v>
      </c>
      <c r="R1062" s="327" t="s">
        <v>515</v>
      </c>
      <c r="S1062" s="133">
        <v>1247</v>
      </c>
      <c r="T1062" s="327" t="s">
        <v>515</v>
      </c>
      <c r="U1062" s="133">
        <v>455</v>
      </c>
      <c r="V1062" s="327" t="s">
        <v>515</v>
      </c>
      <c r="W1062" s="133">
        <v>523</v>
      </c>
      <c r="X1062" s="133" t="s">
        <v>515</v>
      </c>
      <c r="Y1062" s="133">
        <v>674</v>
      </c>
      <c r="Z1062" s="327" t="s">
        <v>515</v>
      </c>
      <c r="AA1062" s="133">
        <v>592</v>
      </c>
      <c r="AB1062" s="133" t="s">
        <v>515</v>
      </c>
      <c r="AC1062" s="133">
        <v>872</v>
      </c>
      <c r="AD1062" s="327" t="s">
        <v>515</v>
      </c>
      <c r="AE1062" s="133">
        <v>786</v>
      </c>
      <c r="AF1062" s="133" t="s">
        <v>515</v>
      </c>
      <c r="AG1062" s="133">
        <v>1055</v>
      </c>
      <c r="AH1062" s="327" t="s">
        <v>515</v>
      </c>
      <c r="AI1062" s="133">
        <v>1307</v>
      </c>
      <c r="AJ1062" s="133" t="s">
        <v>515</v>
      </c>
      <c r="AK1062" s="133">
        <v>1152</v>
      </c>
      <c r="AL1062" s="327" t="s">
        <v>515</v>
      </c>
      <c r="AM1062" s="327">
        <f t="shared" ref="AM1062:AM1125" si="27">SUM(O1062+Q1062+S1062+U1062+W1062+Y1062+AA1062+AC1062+AE1062+AG1062+AI1062+AK1062)</f>
        <v>11538</v>
      </c>
    </row>
    <row r="1063" spans="1:39" ht="18" customHeight="1" x14ac:dyDescent="0.3">
      <c r="A1063" s="424">
        <f t="shared" si="26"/>
        <v>713</v>
      </c>
      <c r="B1063" s="422" t="s">
        <v>1556</v>
      </c>
      <c r="C1063" s="11" t="s">
        <v>268</v>
      </c>
      <c r="D1063" s="11" t="s">
        <v>1736</v>
      </c>
      <c r="E1063" s="31" t="s">
        <v>144</v>
      </c>
      <c r="F1063" s="23" t="s">
        <v>49</v>
      </c>
      <c r="G1063" s="426" t="s">
        <v>1737</v>
      </c>
      <c r="H1063" s="133">
        <v>176</v>
      </c>
      <c r="I1063" s="158" t="s">
        <v>1738</v>
      </c>
      <c r="J1063" s="133">
        <v>4</v>
      </c>
      <c r="K1063" s="132" t="s">
        <v>218</v>
      </c>
      <c r="L1063" s="132" t="s">
        <v>218</v>
      </c>
      <c r="M1063" s="12">
        <v>16090</v>
      </c>
      <c r="N1063" s="133">
        <v>10048</v>
      </c>
      <c r="O1063" s="372">
        <v>1483</v>
      </c>
      <c r="P1063" s="327" t="s">
        <v>515</v>
      </c>
      <c r="Q1063" s="133">
        <v>1097</v>
      </c>
      <c r="R1063" s="327" t="s">
        <v>515</v>
      </c>
      <c r="S1063" s="133">
        <v>608</v>
      </c>
      <c r="T1063" s="327" t="s">
        <v>515</v>
      </c>
      <c r="U1063" s="133">
        <v>261</v>
      </c>
      <c r="V1063" s="327" t="s">
        <v>515</v>
      </c>
      <c r="W1063" s="133">
        <v>359</v>
      </c>
      <c r="X1063" s="133" t="s">
        <v>515</v>
      </c>
      <c r="Y1063" s="133">
        <v>982</v>
      </c>
      <c r="Z1063" s="327" t="s">
        <v>515</v>
      </c>
      <c r="AA1063" s="133">
        <v>833</v>
      </c>
      <c r="AB1063" s="133" t="s">
        <v>515</v>
      </c>
      <c r="AC1063" s="133">
        <v>784</v>
      </c>
      <c r="AD1063" s="327" t="s">
        <v>515</v>
      </c>
      <c r="AE1063" s="133">
        <v>845</v>
      </c>
      <c r="AF1063" s="133" t="s">
        <v>515</v>
      </c>
      <c r="AG1063" s="133">
        <v>992</v>
      </c>
      <c r="AH1063" s="327" t="s">
        <v>515</v>
      </c>
      <c r="AI1063" s="133">
        <v>892</v>
      </c>
      <c r="AJ1063" s="133" t="s">
        <v>515</v>
      </c>
      <c r="AK1063" s="133">
        <v>912</v>
      </c>
      <c r="AL1063" s="327" t="s">
        <v>515</v>
      </c>
      <c r="AM1063" s="327">
        <f t="shared" si="27"/>
        <v>10048</v>
      </c>
    </row>
    <row r="1064" spans="1:39" ht="18" customHeight="1" x14ac:dyDescent="0.3">
      <c r="A1064" s="425"/>
      <c r="B1064" s="423"/>
      <c r="C1064" s="11" t="s">
        <v>268</v>
      </c>
      <c r="D1064" s="11" t="s">
        <v>1736</v>
      </c>
      <c r="E1064" s="31" t="s">
        <v>48</v>
      </c>
      <c r="F1064" s="23" t="s">
        <v>49</v>
      </c>
      <c r="G1064" s="427"/>
      <c r="H1064" s="133"/>
      <c r="I1064" s="158" t="s">
        <v>1738</v>
      </c>
      <c r="J1064" s="133"/>
      <c r="K1064" s="132" t="s">
        <v>218</v>
      </c>
      <c r="L1064" s="132" t="s">
        <v>218</v>
      </c>
      <c r="M1064" s="12">
        <v>41787</v>
      </c>
      <c r="N1064" s="133">
        <v>38350</v>
      </c>
      <c r="O1064" s="372">
        <v>4161</v>
      </c>
      <c r="P1064" s="327" t="s">
        <v>515</v>
      </c>
      <c r="Q1064" s="133">
        <v>3179</v>
      </c>
      <c r="R1064" s="327" t="s">
        <v>515</v>
      </c>
      <c r="S1064" s="133">
        <v>3668</v>
      </c>
      <c r="T1064" s="327" t="s">
        <v>515</v>
      </c>
      <c r="U1064" s="133">
        <v>3862</v>
      </c>
      <c r="V1064" s="327" t="s">
        <v>515</v>
      </c>
      <c r="W1064" s="133">
        <v>2707</v>
      </c>
      <c r="X1064" s="133" t="s">
        <v>515</v>
      </c>
      <c r="Y1064" s="133">
        <v>3024</v>
      </c>
      <c r="Z1064" s="327" t="s">
        <v>515</v>
      </c>
      <c r="AA1064" s="133">
        <v>2722</v>
      </c>
      <c r="AB1064" s="133" t="s">
        <v>515</v>
      </c>
      <c r="AC1064" s="133">
        <v>2526</v>
      </c>
      <c r="AD1064" s="327" t="s">
        <v>515</v>
      </c>
      <c r="AE1064" s="133">
        <v>2711</v>
      </c>
      <c r="AF1064" s="133" t="s">
        <v>515</v>
      </c>
      <c r="AG1064" s="133">
        <v>3555</v>
      </c>
      <c r="AH1064" s="327" t="s">
        <v>515</v>
      </c>
      <c r="AI1064" s="133">
        <v>3191</v>
      </c>
      <c r="AJ1064" s="133" t="s">
        <v>515</v>
      </c>
      <c r="AK1064" s="133">
        <v>3105</v>
      </c>
      <c r="AL1064" s="327" t="s">
        <v>515</v>
      </c>
      <c r="AM1064" s="327">
        <f t="shared" si="27"/>
        <v>38411</v>
      </c>
    </row>
    <row r="1065" spans="1:39" ht="18" customHeight="1" x14ac:dyDescent="0.3">
      <c r="A1065" s="424">
        <f t="shared" si="26"/>
        <v>714</v>
      </c>
      <c r="B1065" s="422" t="s">
        <v>1557</v>
      </c>
      <c r="C1065" s="11" t="s">
        <v>268</v>
      </c>
      <c r="D1065" s="11" t="s">
        <v>1736</v>
      </c>
      <c r="E1065" s="31" t="s">
        <v>144</v>
      </c>
      <c r="F1065" s="23" t="s">
        <v>49</v>
      </c>
      <c r="G1065" s="426" t="s">
        <v>1737</v>
      </c>
      <c r="H1065" s="133">
        <v>148</v>
      </c>
      <c r="I1065" s="158" t="s">
        <v>1738</v>
      </c>
      <c r="J1065" s="133">
        <v>6</v>
      </c>
      <c r="K1065" s="132" t="s">
        <v>218</v>
      </c>
      <c r="L1065" s="132" t="s">
        <v>218</v>
      </c>
      <c r="M1065" s="12">
        <v>9140</v>
      </c>
      <c r="N1065" s="133">
        <v>8787</v>
      </c>
      <c r="O1065" s="372">
        <v>840</v>
      </c>
      <c r="P1065" s="327" t="s">
        <v>515</v>
      </c>
      <c r="Q1065" s="133">
        <v>820</v>
      </c>
      <c r="R1065" s="327" t="s">
        <v>515</v>
      </c>
      <c r="S1065" s="133">
        <v>740</v>
      </c>
      <c r="T1065" s="327" t="s">
        <v>515</v>
      </c>
      <c r="U1065" s="133">
        <v>960</v>
      </c>
      <c r="V1065" s="327" t="s">
        <v>515</v>
      </c>
      <c r="W1065" s="133">
        <v>720</v>
      </c>
      <c r="X1065" s="133" t="s">
        <v>515</v>
      </c>
      <c r="Y1065" s="133">
        <v>700</v>
      </c>
      <c r="Z1065" s="327" t="s">
        <v>515</v>
      </c>
      <c r="AA1065" s="133">
        <v>740</v>
      </c>
      <c r="AB1065" s="133" t="s">
        <v>515</v>
      </c>
      <c r="AC1065" s="133">
        <v>700</v>
      </c>
      <c r="AD1065" s="327" t="s">
        <v>515</v>
      </c>
      <c r="AE1065" s="133">
        <v>780</v>
      </c>
      <c r="AF1065" s="133" t="s">
        <v>515</v>
      </c>
      <c r="AG1065" s="133">
        <v>780</v>
      </c>
      <c r="AH1065" s="327" t="s">
        <v>515</v>
      </c>
      <c r="AI1065" s="133">
        <v>0</v>
      </c>
      <c r="AJ1065" s="133" t="s">
        <v>515</v>
      </c>
      <c r="AK1065" s="133">
        <v>1007</v>
      </c>
      <c r="AL1065" s="327" t="s">
        <v>515</v>
      </c>
      <c r="AM1065" s="327">
        <f t="shared" si="27"/>
        <v>8787</v>
      </c>
    </row>
    <row r="1066" spans="1:39" ht="18" customHeight="1" x14ac:dyDescent="0.3">
      <c r="A1066" s="425"/>
      <c r="B1066" s="423"/>
      <c r="C1066" s="11" t="s">
        <v>268</v>
      </c>
      <c r="D1066" s="11" t="s">
        <v>1736</v>
      </c>
      <c r="E1066" s="31" t="s">
        <v>48</v>
      </c>
      <c r="F1066" s="23" t="s">
        <v>49</v>
      </c>
      <c r="G1066" s="427"/>
      <c r="H1066" s="133"/>
      <c r="I1066" s="158" t="s">
        <v>1738</v>
      </c>
      <c r="J1066" s="133"/>
      <c r="K1066" s="132" t="s">
        <v>218</v>
      </c>
      <c r="L1066" s="132" t="s">
        <v>218</v>
      </c>
      <c r="M1066" s="12">
        <v>29438</v>
      </c>
      <c r="N1066" s="133">
        <v>35450</v>
      </c>
      <c r="O1066" s="372">
        <v>3284</v>
      </c>
      <c r="P1066" s="327" t="s">
        <v>515</v>
      </c>
      <c r="Q1066" s="133">
        <v>5275</v>
      </c>
      <c r="R1066" s="327" t="s">
        <v>515</v>
      </c>
      <c r="S1066" s="133">
        <v>5355</v>
      </c>
      <c r="T1066" s="327" t="s">
        <v>515</v>
      </c>
      <c r="U1066" s="133">
        <v>3970</v>
      </c>
      <c r="V1066" s="327" t="s">
        <v>515</v>
      </c>
      <c r="W1066" s="133">
        <v>1774</v>
      </c>
      <c r="X1066" s="133" t="s">
        <v>515</v>
      </c>
      <c r="Y1066" s="133">
        <v>2189</v>
      </c>
      <c r="Z1066" s="327" t="s">
        <v>515</v>
      </c>
      <c r="AA1066" s="133">
        <v>2347</v>
      </c>
      <c r="AB1066" s="133" t="s">
        <v>515</v>
      </c>
      <c r="AC1066" s="133">
        <v>2028</v>
      </c>
      <c r="AD1066" s="327" t="s">
        <v>515</v>
      </c>
      <c r="AE1066" s="133">
        <v>2047</v>
      </c>
      <c r="AF1066" s="133" t="s">
        <v>515</v>
      </c>
      <c r="AG1066" s="133">
        <v>2311</v>
      </c>
      <c r="AH1066" s="327" t="s">
        <v>515</v>
      </c>
      <c r="AI1066" s="133">
        <v>5990</v>
      </c>
      <c r="AJ1066" s="133" t="s">
        <v>515</v>
      </c>
      <c r="AK1066" s="133">
        <v>4240</v>
      </c>
      <c r="AL1066" s="327" t="s">
        <v>515</v>
      </c>
      <c r="AM1066" s="327">
        <f t="shared" si="27"/>
        <v>40810</v>
      </c>
    </row>
    <row r="1067" spans="1:39" ht="18" customHeight="1" x14ac:dyDescent="0.3">
      <c r="A1067" s="424">
        <f t="shared" si="26"/>
        <v>715</v>
      </c>
      <c r="B1067" s="422" t="s">
        <v>1558</v>
      </c>
      <c r="C1067" s="11" t="s">
        <v>268</v>
      </c>
      <c r="D1067" s="11" t="s">
        <v>1736</v>
      </c>
      <c r="E1067" s="31" t="s">
        <v>144</v>
      </c>
      <c r="F1067" s="23" t="s">
        <v>49</v>
      </c>
      <c r="G1067" s="426" t="s">
        <v>1737</v>
      </c>
      <c r="H1067" s="133">
        <v>124</v>
      </c>
      <c r="I1067" s="158" t="s">
        <v>1738</v>
      </c>
      <c r="J1067" s="133">
        <v>4</v>
      </c>
      <c r="K1067" s="132" t="s">
        <v>218</v>
      </c>
      <c r="L1067" s="132" t="s">
        <v>218</v>
      </c>
      <c r="M1067" s="12">
        <v>29959</v>
      </c>
      <c r="N1067" s="133">
        <v>13060</v>
      </c>
      <c r="O1067" s="372">
        <v>1230</v>
      </c>
      <c r="P1067" s="327" t="s">
        <v>515</v>
      </c>
      <c r="Q1067" s="133">
        <v>1179</v>
      </c>
      <c r="R1067" s="327" t="s">
        <v>515</v>
      </c>
      <c r="S1067" s="133">
        <v>973</v>
      </c>
      <c r="T1067" s="327" t="s">
        <v>515</v>
      </c>
      <c r="U1067" s="133">
        <v>1036</v>
      </c>
      <c r="V1067" s="327" t="s">
        <v>515</v>
      </c>
      <c r="W1067" s="133">
        <v>1218</v>
      </c>
      <c r="X1067" s="133" t="s">
        <v>515</v>
      </c>
      <c r="Y1067" s="133">
        <v>942</v>
      </c>
      <c r="Z1067" s="327" t="s">
        <v>515</v>
      </c>
      <c r="AA1067" s="133">
        <v>1033</v>
      </c>
      <c r="AB1067" s="133" t="s">
        <v>515</v>
      </c>
      <c r="AC1067" s="133">
        <v>968</v>
      </c>
      <c r="AD1067" s="327" t="s">
        <v>515</v>
      </c>
      <c r="AE1067" s="133">
        <v>1067</v>
      </c>
      <c r="AF1067" s="133" t="s">
        <v>515</v>
      </c>
      <c r="AG1067" s="133">
        <v>1026</v>
      </c>
      <c r="AH1067" s="327" t="s">
        <v>515</v>
      </c>
      <c r="AI1067" s="133">
        <v>1180</v>
      </c>
      <c r="AJ1067" s="133" t="s">
        <v>515</v>
      </c>
      <c r="AK1067" s="133">
        <v>1208</v>
      </c>
      <c r="AL1067" s="327" t="s">
        <v>515</v>
      </c>
      <c r="AM1067" s="327">
        <f t="shared" si="27"/>
        <v>13060</v>
      </c>
    </row>
    <row r="1068" spans="1:39" ht="18" customHeight="1" x14ac:dyDescent="0.3">
      <c r="A1068" s="425"/>
      <c r="B1068" s="423"/>
      <c r="C1068" s="11" t="s">
        <v>268</v>
      </c>
      <c r="D1068" s="11" t="s">
        <v>1736</v>
      </c>
      <c r="E1068" s="31" t="s">
        <v>48</v>
      </c>
      <c r="F1068" s="23" t="s">
        <v>49</v>
      </c>
      <c r="G1068" s="427"/>
      <c r="H1068" s="133"/>
      <c r="I1068" s="158" t="s">
        <v>1738</v>
      </c>
      <c r="J1068" s="133"/>
      <c r="K1068" s="132" t="s">
        <v>218</v>
      </c>
      <c r="L1068" s="132" t="s">
        <v>218</v>
      </c>
      <c r="M1068" s="12">
        <v>13854</v>
      </c>
      <c r="N1068" s="133">
        <v>14427</v>
      </c>
      <c r="O1068" s="372">
        <v>1714</v>
      </c>
      <c r="P1068" s="327" t="s">
        <v>515</v>
      </c>
      <c r="Q1068" s="133">
        <v>1128</v>
      </c>
      <c r="R1068" s="327" t="s">
        <v>515</v>
      </c>
      <c r="S1068" s="133">
        <v>1334</v>
      </c>
      <c r="T1068" s="327" t="s">
        <v>515</v>
      </c>
      <c r="U1068" s="133">
        <v>532</v>
      </c>
      <c r="V1068" s="327" t="s">
        <v>515</v>
      </c>
      <c r="W1068" s="133">
        <v>1062</v>
      </c>
      <c r="X1068" s="133" t="s">
        <v>515</v>
      </c>
      <c r="Y1068" s="133">
        <v>453</v>
      </c>
      <c r="Z1068" s="327" t="s">
        <v>515</v>
      </c>
      <c r="AA1068" s="133">
        <v>618</v>
      </c>
      <c r="AB1068" s="133" t="s">
        <v>515</v>
      </c>
      <c r="AC1068" s="133">
        <v>729</v>
      </c>
      <c r="AD1068" s="327" t="s">
        <v>515</v>
      </c>
      <c r="AE1068" s="133">
        <v>991</v>
      </c>
      <c r="AF1068" s="133" t="s">
        <v>515</v>
      </c>
      <c r="AG1068" s="133">
        <v>1116</v>
      </c>
      <c r="AH1068" s="327" t="s">
        <v>515</v>
      </c>
      <c r="AI1068" s="133">
        <v>1622</v>
      </c>
      <c r="AJ1068" s="133" t="s">
        <v>515</v>
      </c>
      <c r="AK1068" s="133">
        <v>2507</v>
      </c>
      <c r="AL1068" s="327" t="s">
        <v>515</v>
      </c>
      <c r="AM1068" s="327">
        <f t="shared" si="27"/>
        <v>13806</v>
      </c>
    </row>
    <row r="1069" spans="1:39" ht="18" customHeight="1" x14ac:dyDescent="0.3">
      <c r="A1069" s="424">
        <f t="shared" si="26"/>
        <v>716</v>
      </c>
      <c r="B1069" s="422" t="s">
        <v>1559</v>
      </c>
      <c r="C1069" s="11" t="s">
        <v>268</v>
      </c>
      <c r="D1069" s="11" t="s">
        <v>1736</v>
      </c>
      <c r="E1069" s="31" t="s">
        <v>144</v>
      </c>
      <c r="F1069" s="23" t="s">
        <v>49</v>
      </c>
      <c r="G1069" s="426" t="s">
        <v>1737</v>
      </c>
      <c r="H1069" s="133">
        <v>138</v>
      </c>
      <c r="I1069" s="158" t="s">
        <v>1738</v>
      </c>
      <c r="J1069" s="133">
        <v>6</v>
      </c>
      <c r="K1069" s="132" t="s">
        <v>218</v>
      </c>
      <c r="L1069" s="132" t="s">
        <v>218</v>
      </c>
      <c r="M1069" s="12">
        <v>14520</v>
      </c>
      <c r="N1069" s="133">
        <v>15740</v>
      </c>
      <c r="O1069" s="372">
        <v>1510</v>
      </c>
      <c r="P1069" s="327" t="s">
        <v>515</v>
      </c>
      <c r="Q1069" s="133">
        <v>1260</v>
      </c>
      <c r="R1069" s="327" t="s">
        <v>515</v>
      </c>
      <c r="S1069" s="133">
        <v>1240</v>
      </c>
      <c r="T1069" s="327" t="s">
        <v>515</v>
      </c>
      <c r="U1069" s="133">
        <v>1570</v>
      </c>
      <c r="V1069" s="327" t="s">
        <v>515</v>
      </c>
      <c r="W1069" s="133">
        <v>1220</v>
      </c>
      <c r="X1069" s="133" t="s">
        <v>515</v>
      </c>
      <c r="Y1069" s="133">
        <v>1190</v>
      </c>
      <c r="Z1069" s="327" t="s">
        <v>515</v>
      </c>
      <c r="AA1069" s="133">
        <v>1390</v>
      </c>
      <c r="AB1069" s="133" t="s">
        <v>515</v>
      </c>
      <c r="AC1069" s="133">
        <v>1090</v>
      </c>
      <c r="AD1069" s="327" t="s">
        <v>515</v>
      </c>
      <c r="AE1069" s="133">
        <v>1340</v>
      </c>
      <c r="AF1069" s="133" t="s">
        <v>515</v>
      </c>
      <c r="AG1069" s="133">
        <v>1330</v>
      </c>
      <c r="AH1069" s="327" t="s">
        <v>515</v>
      </c>
      <c r="AI1069" s="133">
        <v>1390</v>
      </c>
      <c r="AJ1069" s="133" t="s">
        <v>515</v>
      </c>
      <c r="AK1069" s="133">
        <v>1210</v>
      </c>
      <c r="AL1069" s="327" t="s">
        <v>515</v>
      </c>
      <c r="AM1069" s="327">
        <f t="shared" si="27"/>
        <v>15740</v>
      </c>
    </row>
    <row r="1070" spans="1:39" ht="18" customHeight="1" x14ac:dyDescent="0.3">
      <c r="A1070" s="425"/>
      <c r="B1070" s="423"/>
      <c r="C1070" s="11" t="s">
        <v>268</v>
      </c>
      <c r="D1070" s="11" t="s">
        <v>1736</v>
      </c>
      <c r="E1070" s="31" t="s">
        <v>48</v>
      </c>
      <c r="F1070" s="23" t="s">
        <v>49</v>
      </c>
      <c r="G1070" s="427"/>
      <c r="H1070" s="133"/>
      <c r="I1070" s="158" t="s">
        <v>1738</v>
      </c>
      <c r="J1070" s="133"/>
      <c r="K1070" s="132" t="s">
        <v>218</v>
      </c>
      <c r="L1070" s="132" t="s">
        <v>218</v>
      </c>
      <c r="M1070" s="12">
        <v>23652</v>
      </c>
      <c r="N1070" s="133">
        <v>24573</v>
      </c>
      <c r="O1070" s="372">
        <v>3257</v>
      </c>
      <c r="P1070" s="327" t="s">
        <v>515</v>
      </c>
      <c r="Q1070" s="133">
        <v>2690</v>
      </c>
      <c r="R1070" s="327" t="s">
        <v>515</v>
      </c>
      <c r="S1070" s="133">
        <v>2710</v>
      </c>
      <c r="T1070" s="327" t="s">
        <v>515</v>
      </c>
      <c r="U1070" s="133">
        <v>823</v>
      </c>
      <c r="V1070" s="327" t="s">
        <v>515</v>
      </c>
      <c r="W1070" s="133">
        <v>1266</v>
      </c>
      <c r="X1070" s="133" t="s">
        <v>515</v>
      </c>
      <c r="Y1070" s="133">
        <v>1205</v>
      </c>
      <c r="Z1070" s="327" t="s">
        <v>515</v>
      </c>
      <c r="AA1070" s="133">
        <v>1356</v>
      </c>
      <c r="AB1070" s="133" t="s">
        <v>515</v>
      </c>
      <c r="AC1070" s="133">
        <v>1113</v>
      </c>
      <c r="AD1070" s="327" t="s">
        <v>515</v>
      </c>
      <c r="AE1070" s="133">
        <v>1790</v>
      </c>
      <c r="AF1070" s="133" t="s">
        <v>515</v>
      </c>
      <c r="AG1070" s="133">
        <v>2124</v>
      </c>
      <c r="AH1070" s="327" t="s">
        <v>515</v>
      </c>
      <c r="AI1070" s="133">
        <v>2609</v>
      </c>
      <c r="AJ1070" s="133" t="s">
        <v>515</v>
      </c>
      <c r="AK1070" s="133">
        <v>2849</v>
      </c>
      <c r="AL1070" s="327" t="s">
        <v>515</v>
      </c>
      <c r="AM1070" s="327">
        <f t="shared" si="27"/>
        <v>23792</v>
      </c>
    </row>
    <row r="1071" spans="1:39" ht="18" customHeight="1" x14ac:dyDescent="0.3">
      <c r="A1071" s="424">
        <f t="shared" si="26"/>
        <v>717</v>
      </c>
      <c r="B1071" s="422" t="s">
        <v>1560</v>
      </c>
      <c r="C1071" s="11" t="s">
        <v>268</v>
      </c>
      <c r="D1071" s="11" t="s">
        <v>1736</v>
      </c>
      <c r="E1071" s="31" t="s">
        <v>144</v>
      </c>
      <c r="F1071" s="23" t="s">
        <v>49</v>
      </c>
      <c r="G1071" s="426" t="s">
        <v>1737</v>
      </c>
      <c r="H1071" s="133">
        <v>138</v>
      </c>
      <c r="I1071" s="158" t="s">
        <v>1738</v>
      </c>
      <c r="J1071" s="133">
        <v>6</v>
      </c>
      <c r="K1071" s="132" t="s">
        <v>218</v>
      </c>
      <c r="L1071" s="132" t="s">
        <v>218</v>
      </c>
      <c r="M1071" s="12">
        <v>12504</v>
      </c>
      <c r="N1071" s="133">
        <v>12481</v>
      </c>
      <c r="O1071" s="372">
        <v>1203</v>
      </c>
      <c r="P1071" s="327" t="s">
        <v>515</v>
      </c>
      <c r="Q1071" s="133">
        <v>994</v>
      </c>
      <c r="R1071" s="327" t="s">
        <v>515</v>
      </c>
      <c r="S1071" s="133">
        <v>987</v>
      </c>
      <c r="T1071" s="327" t="s">
        <v>515</v>
      </c>
      <c r="U1071" s="133">
        <v>1251</v>
      </c>
      <c r="V1071" s="327" t="s">
        <v>515</v>
      </c>
      <c r="W1071" s="133">
        <v>947</v>
      </c>
      <c r="X1071" s="133" t="s">
        <v>515</v>
      </c>
      <c r="Y1071" s="133">
        <v>998</v>
      </c>
      <c r="Z1071" s="327" t="s">
        <v>515</v>
      </c>
      <c r="AA1071" s="133">
        <v>1101</v>
      </c>
      <c r="AB1071" s="133" t="s">
        <v>515</v>
      </c>
      <c r="AC1071" s="133">
        <v>878</v>
      </c>
      <c r="AD1071" s="327" t="s">
        <v>515</v>
      </c>
      <c r="AE1071" s="133">
        <v>1088</v>
      </c>
      <c r="AF1071" s="133" t="s">
        <v>515</v>
      </c>
      <c r="AG1071" s="133">
        <v>1093</v>
      </c>
      <c r="AH1071" s="327" t="s">
        <v>515</v>
      </c>
      <c r="AI1071" s="133">
        <v>1068</v>
      </c>
      <c r="AJ1071" s="133" t="s">
        <v>515</v>
      </c>
      <c r="AK1071" s="133">
        <v>873</v>
      </c>
      <c r="AL1071" s="327" t="s">
        <v>515</v>
      </c>
      <c r="AM1071" s="327">
        <f t="shared" si="27"/>
        <v>12481</v>
      </c>
    </row>
    <row r="1072" spans="1:39" ht="18" customHeight="1" x14ac:dyDescent="0.3">
      <c r="A1072" s="425"/>
      <c r="B1072" s="423"/>
      <c r="C1072" s="11" t="s">
        <v>268</v>
      </c>
      <c r="D1072" s="11" t="s">
        <v>1736</v>
      </c>
      <c r="E1072" s="31" t="s">
        <v>48</v>
      </c>
      <c r="F1072" s="23" t="s">
        <v>49</v>
      </c>
      <c r="G1072" s="427"/>
      <c r="H1072" s="133"/>
      <c r="I1072" s="158" t="s">
        <v>1738</v>
      </c>
      <c r="J1072" s="133"/>
      <c r="K1072" s="132" t="s">
        <v>218</v>
      </c>
      <c r="L1072" s="132" t="s">
        <v>218</v>
      </c>
      <c r="M1072" s="12">
        <v>13810</v>
      </c>
      <c r="N1072" s="133">
        <v>15614</v>
      </c>
      <c r="O1072" s="372">
        <v>2123</v>
      </c>
      <c r="P1072" s="327" t="s">
        <v>515</v>
      </c>
      <c r="Q1072" s="133">
        <v>1703</v>
      </c>
      <c r="R1072" s="327" t="s">
        <v>515</v>
      </c>
      <c r="S1072" s="133">
        <v>1710</v>
      </c>
      <c r="T1072" s="327" t="s">
        <v>515</v>
      </c>
      <c r="U1072" s="133">
        <v>622</v>
      </c>
      <c r="V1072" s="327" t="s">
        <v>515</v>
      </c>
      <c r="W1072" s="133">
        <v>711</v>
      </c>
      <c r="X1072" s="133" t="s">
        <v>515</v>
      </c>
      <c r="Y1072" s="133">
        <v>920</v>
      </c>
      <c r="Z1072" s="327" t="s">
        <v>515</v>
      </c>
      <c r="AA1072" s="133">
        <v>1033</v>
      </c>
      <c r="AB1072" s="133" t="s">
        <v>515</v>
      </c>
      <c r="AC1072" s="133">
        <v>787</v>
      </c>
      <c r="AD1072" s="327" t="s">
        <v>515</v>
      </c>
      <c r="AE1072" s="133">
        <v>1111</v>
      </c>
      <c r="AF1072" s="133" t="s">
        <v>515</v>
      </c>
      <c r="AG1072" s="133">
        <v>1371</v>
      </c>
      <c r="AH1072" s="327" t="s">
        <v>515</v>
      </c>
      <c r="AI1072" s="133">
        <v>1647</v>
      </c>
      <c r="AJ1072" s="133" t="s">
        <v>515</v>
      </c>
      <c r="AK1072" s="133">
        <v>1840</v>
      </c>
      <c r="AL1072" s="327" t="s">
        <v>515</v>
      </c>
      <c r="AM1072" s="327">
        <f t="shared" si="27"/>
        <v>15578</v>
      </c>
    </row>
    <row r="1073" spans="1:39" ht="18" customHeight="1" x14ac:dyDescent="0.3">
      <c r="A1073" s="424">
        <f t="shared" si="26"/>
        <v>718</v>
      </c>
      <c r="B1073" s="422" t="s">
        <v>1561</v>
      </c>
      <c r="C1073" s="11" t="s">
        <v>268</v>
      </c>
      <c r="D1073" s="11" t="s">
        <v>1736</v>
      </c>
      <c r="E1073" s="31" t="s">
        <v>144</v>
      </c>
      <c r="F1073" s="23" t="s">
        <v>49</v>
      </c>
      <c r="G1073" s="426" t="s">
        <v>1737</v>
      </c>
      <c r="H1073" s="133">
        <v>138</v>
      </c>
      <c r="I1073" s="158" t="s">
        <v>1738</v>
      </c>
      <c r="J1073" s="133">
        <v>6</v>
      </c>
      <c r="K1073" s="132" t="s">
        <v>218</v>
      </c>
      <c r="L1073" s="132" t="s">
        <v>218</v>
      </c>
      <c r="M1073" s="12">
        <v>21410</v>
      </c>
      <c r="N1073" s="133">
        <v>21620</v>
      </c>
      <c r="O1073" s="372">
        <v>2210</v>
      </c>
      <c r="P1073" s="327" t="s">
        <v>515</v>
      </c>
      <c r="Q1073" s="133">
        <v>1850</v>
      </c>
      <c r="R1073" s="327" t="s">
        <v>515</v>
      </c>
      <c r="S1073" s="133">
        <v>1870</v>
      </c>
      <c r="T1073" s="327" t="s">
        <v>515</v>
      </c>
      <c r="U1073" s="133">
        <v>1740</v>
      </c>
      <c r="V1073" s="327" t="s">
        <v>515</v>
      </c>
      <c r="W1073" s="133">
        <v>2240</v>
      </c>
      <c r="X1073" s="133" t="s">
        <v>515</v>
      </c>
      <c r="Y1073" s="133">
        <v>1580</v>
      </c>
      <c r="Z1073" s="327" t="s">
        <v>515</v>
      </c>
      <c r="AA1073" s="133">
        <v>1740</v>
      </c>
      <c r="AB1073" s="133" t="s">
        <v>515</v>
      </c>
      <c r="AC1073" s="133">
        <v>1370</v>
      </c>
      <c r="AD1073" s="327" t="s">
        <v>515</v>
      </c>
      <c r="AE1073" s="133">
        <v>1730</v>
      </c>
      <c r="AF1073" s="133" t="s">
        <v>515</v>
      </c>
      <c r="AG1073" s="133">
        <v>1840</v>
      </c>
      <c r="AH1073" s="327" t="s">
        <v>515</v>
      </c>
      <c r="AI1073" s="133">
        <v>1700</v>
      </c>
      <c r="AJ1073" s="133" t="s">
        <v>515</v>
      </c>
      <c r="AK1073" s="133">
        <v>1750</v>
      </c>
      <c r="AL1073" s="327" t="s">
        <v>515</v>
      </c>
      <c r="AM1073" s="327">
        <f t="shared" si="27"/>
        <v>21620</v>
      </c>
    </row>
    <row r="1074" spans="1:39" ht="18" customHeight="1" x14ac:dyDescent="0.3">
      <c r="A1074" s="425"/>
      <c r="B1074" s="423"/>
      <c r="C1074" s="11" t="s">
        <v>268</v>
      </c>
      <c r="D1074" s="11" t="s">
        <v>1736</v>
      </c>
      <c r="E1074" s="31" t="s">
        <v>48</v>
      </c>
      <c r="F1074" s="23" t="s">
        <v>49</v>
      </c>
      <c r="G1074" s="427"/>
      <c r="H1074" s="133"/>
      <c r="I1074" s="158" t="s">
        <v>1738</v>
      </c>
      <c r="J1074" s="133"/>
      <c r="K1074" s="132" t="s">
        <v>218</v>
      </c>
      <c r="L1074" s="132" t="s">
        <v>218</v>
      </c>
      <c r="M1074" s="12">
        <v>22691</v>
      </c>
      <c r="N1074" s="133">
        <v>25945</v>
      </c>
      <c r="O1074" s="372">
        <v>3612</v>
      </c>
      <c r="P1074" s="327" t="s">
        <v>515</v>
      </c>
      <c r="Q1074" s="133">
        <v>2570</v>
      </c>
      <c r="R1074" s="327" t="s">
        <v>515</v>
      </c>
      <c r="S1074" s="133">
        <v>2550</v>
      </c>
      <c r="T1074" s="327" t="s">
        <v>515</v>
      </c>
      <c r="U1074" s="133">
        <v>1429</v>
      </c>
      <c r="V1074" s="327" t="s">
        <v>515</v>
      </c>
      <c r="W1074" s="133">
        <v>2212</v>
      </c>
      <c r="X1074" s="133" t="s">
        <v>515</v>
      </c>
      <c r="Y1074" s="133">
        <v>1578</v>
      </c>
      <c r="Z1074" s="327" t="s">
        <v>515</v>
      </c>
      <c r="AA1074" s="133">
        <v>1801</v>
      </c>
      <c r="AB1074" s="133" t="s">
        <v>515</v>
      </c>
      <c r="AC1074" s="133">
        <v>1331</v>
      </c>
      <c r="AD1074" s="327" t="s">
        <v>515</v>
      </c>
      <c r="AE1074" s="133">
        <v>1647</v>
      </c>
      <c r="AF1074" s="133" t="s">
        <v>515</v>
      </c>
      <c r="AG1074" s="133">
        <v>1951</v>
      </c>
      <c r="AH1074" s="327" t="s">
        <v>515</v>
      </c>
      <c r="AI1074" s="133">
        <v>2071</v>
      </c>
      <c r="AJ1074" s="133" t="s">
        <v>515</v>
      </c>
      <c r="AK1074" s="133">
        <v>2154</v>
      </c>
      <c r="AL1074" s="327" t="s">
        <v>515</v>
      </c>
      <c r="AM1074" s="327">
        <f t="shared" si="27"/>
        <v>24906</v>
      </c>
    </row>
    <row r="1075" spans="1:39" ht="18" customHeight="1" x14ac:dyDescent="0.3">
      <c r="A1075" s="424">
        <f t="shared" si="26"/>
        <v>719</v>
      </c>
      <c r="B1075" s="422" t="s">
        <v>1562</v>
      </c>
      <c r="C1075" s="11" t="s">
        <v>268</v>
      </c>
      <c r="D1075" s="11" t="s">
        <v>1736</v>
      </c>
      <c r="E1075" s="31" t="s">
        <v>144</v>
      </c>
      <c r="F1075" s="23" t="s">
        <v>49</v>
      </c>
      <c r="G1075" s="426" t="s">
        <v>1737</v>
      </c>
      <c r="H1075" s="133">
        <v>102</v>
      </c>
      <c r="I1075" s="158" t="s">
        <v>1738</v>
      </c>
      <c r="J1075" s="133">
        <v>4</v>
      </c>
      <c r="K1075" s="132" t="s">
        <v>218</v>
      </c>
      <c r="L1075" s="132" t="s">
        <v>218</v>
      </c>
      <c r="M1075" s="12">
        <v>20110</v>
      </c>
      <c r="N1075" s="133">
        <v>21080</v>
      </c>
      <c r="O1075" s="372">
        <v>2490</v>
      </c>
      <c r="P1075" s="327" t="s">
        <v>515</v>
      </c>
      <c r="Q1075" s="133">
        <v>3180</v>
      </c>
      <c r="R1075" s="327" t="s">
        <v>515</v>
      </c>
      <c r="S1075" s="133">
        <v>2110</v>
      </c>
      <c r="T1075" s="327" t="s">
        <v>515</v>
      </c>
      <c r="U1075" s="133">
        <v>1990</v>
      </c>
      <c r="V1075" s="327" t="s">
        <v>515</v>
      </c>
      <c r="W1075" s="133">
        <v>1230</v>
      </c>
      <c r="X1075" s="133" t="s">
        <v>515</v>
      </c>
      <c r="Y1075" s="133">
        <v>1090</v>
      </c>
      <c r="Z1075" s="327" t="s">
        <v>515</v>
      </c>
      <c r="AA1075" s="133">
        <v>1060</v>
      </c>
      <c r="AB1075" s="133" t="s">
        <v>515</v>
      </c>
      <c r="AC1075" s="133">
        <v>920</v>
      </c>
      <c r="AD1075" s="327" t="s">
        <v>515</v>
      </c>
      <c r="AE1075" s="133">
        <v>1070</v>
      </c>
      <c r="AF1075" s="133" t="s">
        <v>515</v>
      </c>
      <c r="AG1075" s="133">
        <v>1550</v>
      </c>
      <c r="AH1075" s="327" t="s">
        <v>515</v>
      </c>
      <c r="AI1075" s="133">
        <v>2210</v>
      </c>
      <c r="AJ1075" s="133" t="s">
        <v>515</v>
      </c>
      <c r="AK1075" s="133">
        <v>2180</v>
      </c>
      <c r="AL1075" s="327" t="s">
        <v>515</v>
      </c>
      <c r="AM1075" s="327">
        <f t="shared" si="27"/>
        <v>21080</v>
      </c>
    </row>
    <row r="1076" spans="1:39" ht="18" customHeight="1" x14ac:dyDescent="0.3">
      <c r="A1076" s="425"/>
      <c r="B1076" s="423"/>
      <c r="C1076" s="11" t="s">
        <v>268</v>
      </c>
      <c r="D1076" s="11" t="s">
        <v>1736</v>
      </c>
      <c r="E1076" s="31" t="s">
        <v>48</v>
      </c>
      <c r="F1076" s="23" t="s">
        <v>49</v>
      </c>
      <c r="G1076" s="427"/>
      <c r="H1076" s="133"/>
      <c r="I1076" s="158" t="s">
        <v>1738</v>
      </c>
      <c r="J1076" s="133"/>
      <c r="K1076" s="132" t="s">
        <v>218</v>
      </c>
      <c r="L1076" s="132" t="s">
        <v>218</v>
      </c>
      <c r="M1076" s="12">
        <v>14315</v>
      </c>
      <c r="N1076" s="133">
        <v>14001</v>
      </c>
      <c r="O1076" s="372">
        <v>2481</v>
      </c>
      <c r="P1076" s="327" t="s">
        <v>515</v>
      </c>
      <c r="Q1076" s="133">
        <v>-380</v>
      </c>
      <c r="R1076" s="327" t="s">
        <v>515</v>
      </c>
      <c r="S1076" s="133">
        <v>690</v>
      </c>
      <c r="T1076" s="327" t="s">
        <v>515</v>
      </c>
      <c r="U1076" s="133">
        <v>212</v>
      </c>
      <c r="V1076" s="327" t="s">
        <v>515</v>
      </c>
      <c r="W1076" s="133">
        <v>834</v>
      </c>
      <c r="X1076" s="133" t="s">
        <v>515</v>
      </c>
      <c r="Y1076" s="133">
        <v>740</v>
      </c>
      <c r="Z1076" s="327" t="s">
        <v>515</v>
      </c>
      <c r="AA1076" s="133">
        <v>652</v>
      </c>
      <c r="AB1076" s="133" t="s">
        <v>515</v>
      </c>
      <c r="AC1076" s="133">
        <v>689</v>
      </c>
      <c r="AD1076" s="327" t="s">
        <v>515</v>
      </c>
      <c r="AE1076" s="133">
        <v>757</v>
      </c>
      <c r="AF1076" s="133" t="s">
        <v>515</v>
      </c>
      <c r="AG1076" s="133">
        <v>1311</v>
      </c>
      <c r="AH1076" s="327" t="s">
        <v>515</v>
      </c>
      <c r="AI1076" s="133">
        <v>1173</v>
      </c>
      <c r="AJ1076" s="133" t="s">
        <v>515</v>
      </c>
      <c r="AK1076" s="133">
        <v>1238</v>
      </c>
      <c r="AL1076" s="327" t="s">
        <v>515</v>
      </c>
      <c r="AM1076" s="327">
        <f t="shared" si="27"/>
        <v>10397</v>
      </c>
    </row>
    <row r="1077" spans="1:39" ht="18" customHeight="1" x14ac:dyDescent="0.3">
      <c r="A1077" s="424">
        <f t="shared" si="26"/>
        <v>720</v>
      </c>
      <c r="B1077" s="422" t="s">
        <v>1563</v>
      </c>
      <c r="C1077" s="11" t="s">
        <v>268</v>
      </c>
      <c r="D1077" s="11" t="s">
        <v>1736</v>
      </c>
      <c r="E1077" s="31" t="s">
        <v>144</v>
      </c>
      <c r="F1077" s="23" t="s">
        <v>49</v>
      </c>
      <c r="G1077" s="426" t="s">
        <v>1737</v>
      </c>
      <c r="H1077" s="133">
        <v>196</v>
      </c>
      <c r="I1077" s="158" t="s">
        <v>1738</v>
      </c>
      <c r="J1077" s="133">
        <v>0</v>
      </c>
      <c r="K1077" s="132" t="s">
        <v>218</v>
      </c>
      <c r="L1077" s="132" t="s">
        <v>218</v>
      </c>
      <c r="M1077" s="12">
        <v>14709</v>
      </c>
      <c r="N1077" s="133">
        <v>16593</v>
      </c>
      <c r="O1077" s="372">
        <v>1396</v>
      </c>
      <c r="P1077" s="327" t="s">
        <v>515</v>
      </c>
      <c r="Q1077" s="133">
        <v>1157</v>
      </c>
      <c r="R1077" s="327" t="s">
        <v>515</v>
      </c>
      <c r="S1077" s="133">
        <v>1282</v>
      </c>
      <c r="T1077" s="327" t="s">
        <v>515</v>
      </c>
      <c r="U1077" s="133">
        <v>1498</v>
      </c>
      <c r="V1077" s="327" t="s">
        <v>515</v>
      </c>
      <c r="W1077" s="133">
        <v>1294</v>
      </c>
      <c r="X1077" s="133" t="s">
        <v>515</v>
      </c>
      <c r="Y1077" s="133">
        <v>1358</v>
      </c>
      <c r="Z1077" s="327" t="s">
        <v>515</v>
      </c>
      <c r="AA1077" s="133">
        <v>1446</v>
      </c>
      <c r="AB1077" s="133" t="s">
        <v>515</v>
      </c>
      <c r="AC1077" s="133">
        <v>1189</v>
      </c>
      <c r="AD1077" s="327" t="s">
        <v>515</v>
      </c>
      <c r="AE1077" s="133">
        <v>1536</v>
      </c>
      <c r="AF1077" s="133" t="s">
        <v>515</v>
      </c>
      <c r="AG1077" s="133">
        <v>1613</v>
      </c>
      <c r="AH1077" s="327" t="s">
        <v>515</v>
      </c>
      <c r="AI1077" s="133">
        <v>1486</v>
      </c>
      <c r="AJ1077" s="133" t="s">
        <v>515</v>
      </c>
      <c r="AK1077" s="133">
        <v>1338</v>
      </c>
      <c r="AL1077" s="327" t="s">
        <v>515</v>
      </c>
      <c r="AM1077" s="327">
        <f t="shared" si="27"/>
        <v>16593</v>
      </c>
    </row>
    <row r="1078" spans="1:39" ht="18" customHeight="1" x14ac:dyDescent="0.3">
      <c r="A1078" s="425"/>
      <c r="B1078" s="423"/>
      <c r="C1078" s="11" t="s">
        <v>268</v>
      </c>
      <c r="D1078" s="11" t="s">
        <v>1736</v>
      </c>
      <c r="E1078" s="31" t="s">
        <v>48</v>
      </c>
      <c r="F1078" s="23" t="s">
        <v>49</v>
      </c>
      <c r="G1078" s="427"/>
      <c r="H1078" s="133"/>
      <c r="I1078" s="158" t="s">
        <v>1738</v>
      </c>
      <c r="J1078" s="133"/>
      <c r="K1078" s="132" t="s">
        <v>218</v>
      </c>
      <c r="L1078" s="132" t="s">
        <v>218</v>
      </c>
      <c r="M1078" s="12">
        <v>16335</v>
      </c>
      <c r="N1078" s="133">
        <v>22074</v>
      </c>
      <c r="O1078" s="372">
        <v>1823</v>
      </c>
      <c r="P1078" s="327" t="s">
        <v>515</v>
      </c>
      <c r="Q1078" s="133">
        <v>2324</v>
      </c>
      <c r="R1078" s="327" t="s">
        <v>515</v>
      </c>
      <c r="S1078" s="133">
        <v>2199</v>
      </c>
      <c r="T1078" s="327" t="s">
        <v>515</v>
      </c>
      <c r="U1078" s="133">
        <v>1206</v>
      </c>
      <c r="V1078" s="327" t="s">
        <v>515</v>
      </c>
      <c r="W1078" s="133">
        <v>1685</v>
      </c>
      <c r="X1078" s="133" t="s">
        <v>515</v>
      </c>
      <c r="Y1078" s="133">
        <v>1564</v>
      </c>
      <c r="Z1078" s="327" t="s">
        <v>515</v>
      </c>
      <c r="AA1078" s="133">
        <v>2234</v>
      </c>
      <c r="AB1078" s="133" t="s">
        <v>515</v>
      </c>
      <c r="AC1078" s="133">
        <v>1627</v>
      </c>
      <c r="AD1078" s="327" t="s">
        <v>515</v>
      </c>
      <c r="AE1078" s="133">
        <v>1741</v>
      </c>
      <c r="AF1078" s="133" t="s">
        <v>515</v>
      </c>
      <c r="AG1078" s="133">
        <v>1738</v>
      </c>
      <c r="AH1078" s="327" t="s">
        <v>515</v>
      </c>
      <c r="AI1078" s="133">
        <v>1588</v>
      </c>
      <c r="AJ1078" s="133" t="s">
        <v>515</v>
      </c>
      <c r="AK1078" s="133">
        <v>1798</v>
      </c>
      <c r="AL1078" s="327" t="s">
        <v>515</v>
      </c>
      <c r="AM1078" s="327">
        <f t="shared" si="27"/>
        <v>21527</v>
      </c>
    </row>
    <row r="1079" spans="1:39" ht="18" customHeight="1" x14ac:dyDescent="0.3">
      <c r="A1079" s="424">
        <f t="shared" si="26"/>
        <v>721</v>
      </c>
      <c r="B1079" s="422" t="s">
        <v>1564</v>
      </c>
      <c r="C1079" s="11" t="s">
        <v>268</v>
      </c>
      <c r="D1079" s="11" t="s">
        <v>1736</v>
      </c>
      <c r="E1079" s="31" t="s">
        <v>144</v>
      </c>
      <c r="F1079" s="23" t="s">
        <v>49</v>
      </c>
      <c r="G1079" s="426" t="s">
        <v>1737</v>
      </c>
      <c r="H1079" s="133">
        <v>176</v>
      </c>
      <c r="I1079" s="158" t="s">
        <v>1738</v>
      </c>
      <c r="J1079" s="133">
        <v>4</v>
      </c>
      <c r="K1079" s="132" t="s">
        <v>218</v>
      </c>
      <c r="L1079" s="132" t="s">
        <v>218</v>
      </c>
      <c r="M1079" s="12">
        <v>15000</v>
      </c>
      <c r="N1079" s="133">
        <v>13096</v>
      </c>
      <c r="O1079" s="372">
        <v>1410</v>
      </c>
      <c r="P1079" s="327" t="s">
        <v>515</v>
      </c>
      <c r="Q1079" s="133">
        <v>1380</v>
      </c>
      <c r="R1079" s="327" t="s">
        <v>515</v>
      </c>
      <c r="S1079" s="133">
        <v>1150</v>
      </c>
      <c r="T1079" s="327" t="s">
        <v>515</v>
      </c>
      <c r="U1079" s="133">
        <v>1430</v>
      </c>
      <c r="V1079" s="327" t="s">
        <v>515</v>
      </c>
      <c r="W1079" s="133">
        <v>1120</v>
      </c>
      <c r="X1079" s="133" t="s">
        <v>515</v>
      </c>
      <c r="Y1079" s="133">
        <v>1170</v>
      </c>
      <c r="Z1079" s="327" t="s">
        <v>515</v>
      </c>
      <c r="AA1079" s="133">
        <v>970</v>
      </c>
      <c r="AB1079" s="133" t="s">
        <v>515</v>
      </c>
      <c r="AC1079" s="133">
        <v>1000</v>
      </c>
      <c r="AD1079" s="327" t="s">
        <v>515</v>
      </c>
      <c r="AE1079" s="133">
        <v>1040</v>
      </c>
      <c r="AF1079" s="133" t="s">
        <v>515</v>
      </c>
      <c r="AG1079" s="133">
        <v>1310</v>
      </c>
      <c r="AH1079" s="327" t="s">
        <v>515</v>
      </c>
      <c r="AI1079" s="133">
        <v>0</v>
      </c>
      <c r="AJ1079" s="133" t="s">
        <v>515</v>
      </c>
      <c r="AK1079" s="133">
        <v>1116</v>
      </c>
      <c r="AL1079" s="327" t="s">
        <v>515</v>
      </c>
      <c r="AM1079" s="327">
        <f t="shared" si="27"/>
        <v>13096</v>
      </c>
    </row>
    <row r="1080" spans="1:39" ht="18" customHeight="1" x14ac:dyDescent="0.3">
      <c r="A1080" s="425"/>
      <c r="B1080" s="423"/>
      <c r="C1080" s="11" t="s">
        <v>268</v>
      </c>
      <c r="D1080" s="11" t="s">
        <v>1736</v>
      </c>
      <c r="E1080" s="31" t="s">
        <v>48</v>
      </c>
      <c r="F1080" s="23" t="s">
        <v>49</v>
      </c>
      <c r="G1080" s="427"/>
      <c r="H1080" s="133"/>
      <c r="I1080" s="158" t="s">
        <v>1738</v>
      </c>
      <c r="J1080" s="133"/>
      <c r="K1080" s="132" t="s">
        <v>218</v>
      </c>
      <c r="L1080" s="132" t="s">
        <v>218</v>
      </c>
      <c r="M1080" s="12">
        <v>14999</v>
      </c>
      <c r="N1080" s="133">
        <v>11579</v>
      </c>
      <c r="O1080" s="372">
        <v>1401</v>
      </c>
      <c r="P1080" s="327" t="s">
        <v>515</v>
      </c>
      <c r="Q1080" s="133">
        <v>573</v>
      </c>
      <c r="R1080" s="327" t="s">
        <v>515</v>
      </c>
      <c r="S1080" s="133">
        <v>803</v>
      </c>
      <c r="T1080" s="327" t="s">
        <v>515</v>
      </c>
      <c r="U1080" s="133">
        <v>376</v>
      </c>
      <c r="V1080" s="327" t="s">
        <v>515</v>
      </c>
      <c r="W1080" s="133">
        <v>1068</v>
      </c>
      <c r="X1080" s="133" t="s">
        <v>515</v>
      </c>
      <c r="Y1080" s="133">
        <v>1085</v>
      </c>
      <c r="Z1080" s="327" t="s">
        <v>515</v>
      </c>
      <c r="AA1080" s="133">
        <v>787</v>
      </c>
      <c r="AB1080" s="133" t="s">
        <v>515</v>
      </c>
      <c r="AC1080" s="133">
        <v>971</v>
      </c>
      <c r="AD1080" s="327" t="s">
        <v>515</v>
      </c>
      <c r="AE1080" s="133">
        <v>809</v>
      </c>
      <c r="AF1080" s="133" t="s">
        <v>515</v>
      </c>
      <c r="AG1080" s="133">
        <v>957</v>
      </c>
      <c r="AH1080" s="327" t="s">
        <v>515</v>
      </c>
      <c r="AI1080" s="133">
        <v>0</v>
      </c>
      <c r="AJ1080" s="133" t="s">
        <v>515</v>
      </c>
      <c r="AK1080" s="133">
        <v>912</v>
      </c>
      <c r="AL1080" s="327" t="s">
        <v>515</v>
      </c>
      <c r="AM1080" s="327">
        <f t="shared" si="27"/>
        <v>9742</v>
      </c>
    </row>
    <row r="1081" spans="1:39" ht="18" customHeight="1" x14ac:dyDescent="0.3">
      <c r="A1081" s="424">
        <f t="shared" ref="A1081:A1143" si="28">A1079+1</f>
        <v>722</v>
      </c>
      <c r="B1081" s="422" t="s">
        <v>1565</v>
      </c>
      <c r="C1081" s="11" t="s">
        <v>268</v>
      </c>
      <c r="D1081" s="11" t="s">
        <v>1736</v>
      </c>
      <c r="E1081" s="31" t="s">
        <v>144</v>
      </c>
      <c r="F1081" s="23" t="s">
        <v>49</v>
      </c>
      <c r="G1081" s="426" t="s">
        <v>1737</v>
      </c>
      <c r="H1081" s="133">
        <v>186</v>
      </c>
      <c r="I1081" s="158" t="s">
        <v>1738</v>
      </c>
      <c r="J1081" s="133">
        <v>5</v>
      </c>
      <c r="K1081" s="132" t="s">
        <v>218</v>
      </c>
      <c r="L1081" s="132" t="s">
        <v>218</v>
      </c>
      <c r="M1081" s="12">
        <v>14670</v>
      </c>
      <c r="N1081" s="133">
        <v>15070</v>
      </c>
      <c r="O1081" s="372">
        <v>1390</v>
      </c>
      <c r="P1081" s="327" t="s">
        <v>515</v>
      </c>
      <c r="Q1081" s="133">
        <v>1240</v>
      </c>
      <c r="R1081" s="327" t="s">
        <v>515</v>
      </c>
      <c r="S1081" s="133">
        <v>1110</v>
      </c>
      <c r="T1081" s="327" t="s">
        <v>515</v>
      </c>
      <c r="U1081" s="133">
        <v>1470</v>
      </c>
      <c r="V1081" s="327" t="s">
        <v>515</v>
      </c>
      <c r="W1081" s="133">
        <v>1220</v>
      </c>
      <c r="X1081" s="133" t="s">
        <v>515</v>
      </c>
      <c r="Y1081" s="133">
        <v>1320</v>
      </c>
      <c r="Z1081" s="327" t="s">
        <v>515</v>
      </c>
      <c r="AA1081" s="133">
        <v>1100</v>
      </c>
      <c r="AB1081" s="133" t="s">
        <v>515</v>
      </c>
      <c r="AC1081" s="133">
        <v>1150</v>
      </c>
      <c r="AD1081" s="327" t="s">
        <v>515</v>
      </c>
      <c r="AE1081" s="133">
        <v>1160</v>
      </c>
      <c r="AF1081" s="133" t="s">
        <v>515</v>
      </c>
      <c r="AG1081" s="133">
        <v>1450</v>
      </c>
      <c r="AH1081" s="327" t="s">
        <v>515</v>
      </c>
      <c r="AI1081" s="133">
        <v>1280</v>
      </c>
      <c r="AJ1081" s="133" t="s">
        <v>515</v>
      </c>
      <c r="AK1081" s="133">
        <v>1180</v>
      </c>
      <c r="AL1081" s="327" t="s">
        <v>515</v>
      </c>
      <c r="AM1081" s="327">
        <f t="shared" si="27"/>
        <v>15070</v>
      </c>
    </row>
    <row r="1082" spans="1:39" ht="18" customHeight="1" x14ac:dyDescent="0.3">
      <c r="A1082" s="425"/>
      <c r="B1082" s="423"/>
      <c r="C1082" s="11" t="s">
        <v>268</v>
      </c>
      <c r="D1082" s="11" t="s">
        <v>1736</v>
      </c>
      <c r="E1082" s="31" t="s">
        <v>48</v>
      </c>
      <c r="F1082" s="23" t="s">
        <v>49</v>
      </c>
      <c r="G1082" s="427"/>
      <c r="H1082" s="133"/>
      <c r="I1082" s="158" t="s">
        <v>1738</v>
      </c>
      <c r="J1082" s="133"/>
      <c r="K1082" s="132" t="s">
        <v>218</v>
      </c>
      <c r="L1082" s="132" t="s">
        <v>218</v>
      </c>
      <c r="M1082" s="12">
        <v>15195</v>
      </c>
      <c r="N1082" s="133">
        <v>15224</v>
      </c>
      <c r="O1082" s="372">
        <v>1908</v>
      </c>
      <c r="P1082" s="327" t="s">
        <v>515</v>
      </c>
      <c r="Q1082" s="133">
        <v>1636</v>
      </c>
      <c r="R1082" s="327" t="s">
        <v>515</v>
      </c>
      <c r="S1082" s="133">
        <v>1766</v>
      </c>
      <c r="T1082" s="327" t="s">
        <v>515</v>
      </c>
      <c r="U1082" s="133">
        <v>750</v>
      </c>
      <c r="V1082" s="327" t="s">
        <v>515</v>
      </c>
      <c r="W1082" s="133">
        <v>896</v>
      </c>
      <c r="X1082" s="133" t="s">
        <v>515</v>
      </c>
      <c r="Y1082" s="133">
        <v>780</v>
      </c>
      <c r="Z1082" s="327" t="s">
        <v>515</v>
      </c>
      <c r="AA1082" s="133">
        <v>701</v>
      </c>
      <c r="AB1082" s="133" t="s">
        <v>515</v>
      </c>
      <c r="AC1082" s="133">
        <v>895</v>
      </c>
      <c r="AD1082" s="327" t="s">
        <v>515</v>
      </c>
      <c r="AE1082" s="133">
        <v>1038</v>
      </c>
      <c r="AF1082" s="133" t="s">
        <v>515</v>
      </c>
      <c r="AG1082" s="133">
        <v>1516</v>
      </c>
      <c r="AH1082" s="327" t="s">
        <v>515</v>
      </c>
      <c r="AI1082" s="133">
        <v>1552</v>
      </c>
      <c r="AJ1082" s="133" t="s">
        <v>515</v>
      </c>
      <c r="AK1082" s="133">
        <v>1804</v>
      </c>
      <c r="AL1082" s="327" t="s">
        <v>515</v>
      </c>
      <c r="AM1082" s="327">
        <f t="shared" si="27"/>
        <v>15242</v>
      </c>
    </row>
    <row r="1083" spans="1:39" ht="18" customHeight="1" x14ac:dyDescent="0.3">
      <c r="A1083" s="424">
        <f t="shared" si="28"/>
        <v>723</v>
      </c>
      <c r="B1083" s="422" t="s">
        <v>1566</v>
      </c>
      <c r="C1083" s="11" t="s">
        <v>268</v>
      </c>
      <c r="D1083" s="11" t="s">
        <v>1736</v>
      </c>
      <c r="E1083" s="31" t="s">
        <v>144</v>
      </c>
      <c r="F1083" s="23" t="s">
        <v>49</v>
      </c>
      <c r="G1083" s="426" t="s">
        <v>1737</v>
      </c>
      <c r="H1083" s="133">
        <v>185</v>
      </c>
      <c r="I1083" s="158" t="s">
        <v>1738</v>
      </c>
      <c r="J1083" s="133">
        <v>5</v>
      </c>
      <c r="K1083" s="132" t="s">
        <v>218</v>
      </c>
      <c r="L1083" s="132" t="s">
        <v>218</v>
      </c>
      <c r="M1083" s="12">
        <v>24340</v>
      </c>
      <c r="N1083" s="133">
        <v>27010</v>
      </c>
      <c r="O1083" s="372">
        <v>2550</v>
      </c>
      <c r="P1083" s="327" t="s">
        <v>515</v>
      </c>
      <c r="Q1083" s="133">
        <v>3130</v>
      </c>
      <c r="R1083" s="327" t="s">
        <v>515</v>
      </c>
      <c r="S1083" s="133">
        <v>2120</v>
      </c>
      <c r="T1083" s="327" t="s">
        <v>515</v>
      </c>
      <c r="U1083" s="133">
        <v>2410</v>
      </c>
      <c r="V1083" s="327" t="s">
        <v>515</v>
      </c>
      <c r="W1083" s="133">
        <v>1810</v>
      </c>
      <c r="X1083" s="133" t="s">
        <v>515</v>
      </c>
      <c r="Y1083" s="133">
        <v>1990</v>
      </c>
      <c r="Z1083" s="327" t="s">
        <v>515</v>
      </c>
      <c r="AA1083" s="133">
        <v>1590</v>
      </c>
      <c r="AB1083" s="133" t="s">
        <v>515</v>
      </c>
      <c r="AC1083" s="133">
        <v>1680</v>
      </c>
      <c r="AD1083" s="327" t="s">
        <v>515</v>
      </c>
      <c r="AE1083" s="133">
        <v>1700</v>
      </c>
      <c r="AF1083" s="133" t="s">
        <v>515</v>
      </c>
      <c r="AG1083" s="133">
        <v>2340</v>
      </c>
      <c r="AH1083" s="327" t="s">
        <v>515</v>
      </c>
      <c r="AI1083" s="133">
        <v>2570</v>
      </c>
      <c r="AJ1083" s="133" t="s">
        <v>515</v>
      </c>
      <c r="AK1083" s="133">
        <v>3120</v>
      </c>
      <c r="AL1083" s="327" t="s">
        <v>515</v>
      </c>
      <c r="AM1083" s="327">
        <f t="shared" si="27"/>
        <v>27010</v>
      </c>
    </row>
    <row r="1084" spans="1:39" ht="18" customHeight="1" x14ac:dyDescent="0.3">
      <c r="A1084" s="425"/>
      <c r="B1084" s="423"/>
      <c r="C1084" s="11" t="s">
        <v>268</v>
      </c>
      <c r="D1084" s="11" t="s">
        <v>1736</v>
      </c>
      <c r="E1084" s="31" t="s">
        <v>48</v>
      </c>
      <c r="F1084" s="23" t="s">
        <v>49</v>
      </c>
      <c r="G1084" s="427"/>
      <c r="H1084" s="133"/>
      <c r="I1084" s="158" t="s">
        <v>1738</v>
      </c>
      <c r="J1084" s="133"/>
      <c r="K1084" s="132" t="s">
        <v>218</v>
      </c>
      <c r="L1084" s="132" t="s">
        <v>218</v>
      </c>
      <c r="M1084" s="12">
        <v>13978</v>
      </c>
      <c r="N1084" s="133">
        <v>11270</v>
      </c>
      <c r="O1084" s="372">
        <v>1449</v>
      </c>
      <c r="P1084" s="327" t="s">
        <v>515</v>
      </c>
      <c r="Q1084" s="133">
        <v>949</v>
      </c>
      <c r="R1084" s="327" t="s">
        <v>515</v>
      </c>
      <c r="S1084" s="133">
        <v>1959</v>
      </c>
      <c r="T1084" s="327" t="s">
        <v>515</v>
      </c>
      <c r="U1084" s="133">
        <v>280</v>
      </c>
      <c r="V1084" s="327" t="s">
        <v>515</v>
      </c>
      <c r="W1084" s="133">
        <v>586</v>
      </c>
      <c r="X1084" s="133" t="s">
        <v>515</v>
      </c>
      <c r="Y1084" s="133">
        <v>669</v>
      </c>
      <c r="Z1084" s="327" t="s">
        <v>515</v>
      </c>
      <c r="AA1084" s="133">
        <v>517</v>
      </c>
      <c r="AB1084" s="133" t="s">
        <v>515</v>
      </c>
      <c r="AC1084" s="133">
        <v>653</v>
      </c>
      <c r="AD1084" s="327" t="s">
        <v>515</v>
      </c>
      <c r="AE1084" s="133">
        <v>794</v>
      </c>
      <c r="AF1084" s="133" t="s">
        <v>515</v>
      </c>
      <c r="AG1084" s="133">
        <v>1216</v>
      </c>
      <c r="AH1084" s="327" t="s">
        <v>515</v>
      </c>
      <c r="AI1084" s="133">
        <v>1106</v>
      </c>
      <c r="AJ1084" s="133" t="s">
        <v>515</v>
      </c>
      <c r="AK1084" s="133">
        <v>1214</v>
      </c>
      <c r="AL1084" s="327" t="s">
        <v>515</v>
      </c>
      <c r="AM1084" s="327">
        <f t="shared" si="27"/>
        <v>11392</v>
      </c>
    </row>
    <row r="1085" spans="1:39" ht="18" customHeight="1" x14ac:dyDescent="0.3">
      <c r="A1085" s="424">
        <f t="shared" si="28"/>
        <v>724</v>
      </c>
      <c r="B1085" s="422" t="s">
        <v>1567</v>
      </c>
      <c r="C1085" s="11" t="s">
        <v>268</v>
      </c>
      <c r="D1085" s="11" t="s">
        <v>1736</v>
      </c>
      <c r="E1085" s="31" t="s">
        <v>144</v>
      </c>
      <c r="F1085" s="23" t="s">
        <v>49</v>
      </c>
      <c r="G1085" s="426" t="s">
        <v>1737</v>
      </c>
      <c r="H1085" s="133">
        <v>320</v>
      </c>
      <c r="I1085" s="158" t="s">
        <v>1738</v>
      </c>
      <c r="J1085" s="133">
        <v>4</v>
      </c>
      <c r="K1085" s="132" t="s">
        <v>218</v>
      </c>
      <c r="L1085" s="132" t="s">
        <v>218</v>
      </c>
      <c r="M1085" s="12">
        <v>40960</v>
      </c>
      <c r="N1085" s="133">
        <v>37367</v>
      </c>
      <c r="O1085" s="372">
        <v>3740</v>
      </c>
      <c r="P1085" s="327" t="s">
        <v>515</v>
      </c>
      <c r="Q1085" s="133">
        <v>3560</v>
      </c>
      <c r="R1085" s="327" t="s">
        <v>515</v>
      </c>
      <c r="S1085" s="133">
        <v>3360</v>
      </c>
      <c r="T1085" s="327" t="s">
        <v>515</v>
      </c>
      <c r="U1085" s="133">
        <v>4220</v>
      </c>
      <c r="V1085" s="327" t="s">
        <v>515</v>
      </c>
      <c r="W1085" s="133">
        <v>3220</v>
      </c>
      <c r="X1085" s="133" t="s">
        <v>515</v>
      </c>
      <c r="Y1085" s="133">
        <v>3400</v>
      </c>
      <c r="Z1085" s="327" t="s">
        <v>515</v>
      </c>
      <c r="AA1085" s="133">
        <v>3360</v>
      </c>
      <c r="AB1085" s="133" t="s">
        <v>515</v>
      </c>
      <c r="AC1085" s="133">
        <v>2800</v>
      </c>
      <c r="AD1085" s="327" t="s">
        <v>515</v>
      </c>
      <c r="AE1085" s="133">
        <v>3300</v>
      </c>
      <c r="AF1085" s="133" t="s">
        <v>515</v>
      </c>
      <c r="AG1085" s="133">
        <v>3280</v>
      </c>
      <c r="AH1085" s="327" t="s">
        <v>515</v>
      </c>
      <c r="AI1085" s="133">
        <v>0</v>
      </c>
      <c r="AJ1085" s="133" t="s">
        <v>515</v>
      </c>
      <c r="AK1085" s="133">
        <v>3127</v>
      </c>
      <c r="AL1085" s="327" t="s">
        <v>515</v>
      </c>
      <c r="AM1085" s="327">
        <f t="shared" si="27"/>
        <v>37367</v>
      </c>
    </row>
    <row r="1086" spans="1:39" ht="18" customHeight="1" x14ac:dyDescent="0.3">
      <c r="A1086" s="425"/>
      <c r="B1086" s="423"/>
      <c r="C1086" s="11" t="s">
        <v>268</v>
      </c>
      <c r="D1086" s="11" t="s">
        <v>1736</v>
      </c>
      <c r="E1086" s="31" t="s">
        <v>48</v>
      </c>
      <c r="F1086" s="23" t="s">
        <v>49</v>
      </c>
      <c r="G1086" s="427"/>
      <c r="H1086" s="133"/>
      <c r="I1086" s="158" t="s">
        <v>1738</v>
      </c>
      <c r="J1086" s="133"/>
      <c r="K1086" s="132" t="s">
        <v>218</v>
      </c>
      <c r="L1086" s="132" t="s">
        <v>218</v>
      </c>
      <c r="M1086" s="12">
        <v>76340</v>
      </c>
      <c r="N1086" s="133">
        <v>66764</v>
      </c>
      <c r="O1086" s="372">
        <v>8200</v>
      </c>
      <c r="P1086" s="327" t="s">
        <v>515</v>
      </c>
      <c r="Q1086" s="133">
        <v>7950</v>
      </c>
      <c r="R1086" s="327" t="s">
        <v>515</v>
      </c>
      <c r="S1086" s="133">
        <v>8150</v>
      </c>
      <c r="T1086" s="327" t="s">
        <v>515</v>
      </c>
      <c r="U1086" s="133">
        <v>5020</v>
      </c>
      <c r="V1086" s="327" t="s">
        <v>515</v>
      </c>
      <c r="W1086" s="133">
        <v>4960</v>
      </c>
      <c r="X1086" s="133" t="s">
        <v>515</v>
      </c>
      <c r="Y1086" s="133">
        <v>5600</v>
      </c>
      <c r="Z1086" s="327" t="s">
        <v>515</v>
      </c>
      <c r="AA1086" s="133">
        <v>5150</v>
      </c>
      <c r="AB1086" s="133" t="s">
        <v>515</v>
      </c>
      <c r="AC1086" s="133">
        <v>4250</v>
      </c>
      <c r="AD1086" s="327" t="s">
        <v>515</v>
      </c>
      <c r="AE1086" s="133">
        <v>5720</v>
      </c>
      <c r="AF1086" s="133" t="s">
        <v>515</v>
      </c>
      <c r="AG1086" s="133">
        <v>5970</v>
      </c>
      <c r="AH1086" s="327" t="s">
        <v>515</v>
      </c>
      <c r="AI1086" s="133">
        <v>0</v>
      </c>
      <c r="AJ1086" s="133" t="s">
        <v>515</v>
      </c>
      <c r="AK1086" s="133">
        <v>5314</v>
      </c>
      <c r="AL1086" s="327" t="s">
        <v>515</v>
      </c>
      <c r="AM1086" s="327">
        <f t="shared" si="27"/>
        <v>66284</v>
      </c>
    </row>
    <row r="1087" spans="1:39" ht="18" customHeight="1" x14ac:dyDescent="0.3">
      <c r="A1087" s="424">
        <f t="shared" si="28"/>
        <v>725</v>
      </c>
      <c r="B1087" s="422" t="s">
        <v>1568</v>
      </c>
      <c r="C1087" s="11" t="s">
        <v>268</v>
      </c>
      <c r="D1087" s="11" t="s">
        <v>1736</v>
      </c>
      <c r="E1087" s="31" t="s">
        <v>144</v>
      </c>
      <c r="F1087" s="23" t="s">
        <v>49</v>
      </c>
      <c r="G1087" s="426" t="s">
        <v>1737</v>
      </c>
      <c r="H1087" s="133">
        <v>320</v>
      </c>
      <c r="I1087" s="158" t="s">
        <v>1738</v>
      </c>
      <c r="J1087" s="133">
        <v>4</v>
      </c>
      <c r="K1087" s="132" t="s">
        <v>218</v>
      </c>
      <c r="L1087" s="132" t="s">
        <v>218</v>
      </c>
      <c r="M1087" s="12">
        <v>55940</v>
      </c>
      <c r="N1087" s="133">
        <v>56320</v>
      </c>
      <c r="O1087" s="372">
        <v>5240</v>
      </c>
      <c r="P1087" s="327" t="s">
        <v>515</v>
      </c>
      <c r="Q1087" s="133">
        <v>5260</v>
      </c>
      <c r="R1087" s="327" t="s">
        <v>515</v>
      </c>
      <c r="S1087" s="133">
        <v>5740</v>
      </c>
      <c r="T1087" s="327" t="s">
        <v>515</v>
      </c>
      <c r="U1087" s="133">
        <v>6140</v>
      </c>
      <c r="V1087" s="327" t="s">
        <v>515</v>
      </c>
      <c r="W1087" s="133">
        <v>4780</v>
      </c>
      <c r="X1087" s="133" t="s">
        <v>515</v>
      </c>
      <c r="Y1087" s="133">
        <v>5280</v>
      </c>
      <c r="Z1087" s="327" t="s">
        <v>515</v>
      </c>
      <c r="AA1087" s="133">
        <v>5160</v>
      </c>
      <c r="AB1087" s="133" t="s">
        <v>515</v>
      </c>
      <c r="AC1087" s="133">
        <v>4320</v>
      </c>
      <c r="AD1087" s="327" t="s">
        <v>515</v>
      </c>
      <c r="AE1087" s="133">
        <v>4820</v>
      </c>
      <c r="AF1087" s="133" t="s">
        <v>515</v>
      </c>
      <c r="AG1087" s="133">
        <v>4900</v>
      </c>
      <c r="AH1087" s="327" t="s">
        <v>515</v>
      </c>
      <c r="AI1087" s="133">
        <v>0</v>
      </c>
      <c r="AJ1087" s="133" t="s">
        <v>515</v>
      </c>
      <c r="AK1087" s="133">
        <v>4680</v>
      </c>
      <c r="AL1087" s="327" t="s">
        <v>515</v>
      </c>
      <c r="AM1087" s="327">
        <f t="shared" si="27"/>
        <v>56320</v>
      </c>
    </row>
    <row r="1088" spans="1:39" ht="18" customHeight="1" x14ac:dyDescent="0.3">
      <c r="A1088" s="425"/>
      <c r="B1088" s="423"/>
      <c r="C1088" s="11" t="s">
        <v>268</v>
      </c>
      <c r="D1088" s="11" t="s">
        <v>1736</v>
      </c>
      <c r="E1088" s="31" t="s">
        <v>48</v>
      </c>
      <c r="F1088" s="23" t="s">
        <v>49</v>
      </c>
      <c r="G1088" s="427"/>
      <c r="H1088" s="133"/>
      <c r="I1088" s="158" t="s">
        <v>1738</v>
      </c>
      <c r="J1088" s="133"/>
      <c r="K1088" s="132" t="s">
        <v>218</v>
      </c>
      <c r="L1088" s="132" t="s">
        <v>218</v>
      </c>
      <c r="M1088" s="12">
        <v>102680</v>
      </c>
      <c r="N1088" s="133">
        <v>82656</v>
      </c>
      <c r="O1088" s="372">
        <v>9390</v>
      </c>
      <c r="P1088" s="327" t="s">
        <v>515</v>
      </c>
      <c r="Q1088" s="133">
        <v>7120</v>
      </c>
      <c r="R1088" s="327" t="s">
        <v>515</v>
      </c>
      <c r="S1088" s="133">
        <v>6640</v>
      </c>
      <c r="T1088" s="327" t="s">
        <v>515</v>
      </c>
      <c r="U1088" s="133">
        <v>3350</v>
      </c>
      <c r="V1088" s="327" t="s">
        <v>515</v>
      </c>
      <c r="W1088" s="133">
        <v>6390</v>
      </c>
      <c r="X1088" s="133" t="s">
        <v>515</v>
      </c>
      <c r="Y1088" s="133">
        <v>6780</v>
      </c>
      <c r="Z1088" s="327" t="s">
        <v>515</v>
      </c>
      <c r="AA1088" s="133">
        <v>6850</v>
      </c>
      <c r="AB1088" s="133" t="s">
        <v>515</v>
      </c>
      <c r="AC1088" s="133">
        <v>6460</v>
      </c>
      <c r="AD1088" s="327" t="s">
        <v>515</v>
      </c>
      <c r="AE1088" s="133">
        <v>7610</v>
      </c>
      <c r="AF1088" s="133" t="s">
        <v>515</v>
      </c>
      <c r="AG1088" s="133">
        <v>7820</v>
      </c>
      <c r="AH1088" s="327" t="s">
        <v>515</v>
      </c>
      <c r="AI1088" s="133">
        <v>0</v>
      </c>
      <c r="AJ1088" s="133" t="s">
        <v>515</v>
      </c>
      <c r="AK1088" s="133">
        <v>7296</v>
      </c>
      <c r="AL1088" s="327" t="s">
        <v>515</v>
      </c>
      <c r="AM1088" s="327">
        <f t="shared" si="27"/>
        <v>75706</v>
      </c>
    </row>
    <row r="1089" spans="1:39" ht="18" customHeight="1" x14ac:dyDescent="0.3">
      <c r="A1089" s="424">
        <f t="shared" si="28"/>
        <v>726</v>
      </c>
      <c r="B1089" s="422" t="s">
        <v>1569</v>
      </c>
      <c r="C1089" s="11" t="s">
        <v>268</v>
      </c>
      <c r="D1089" s="11" t="s">
        <v>1736</v>
      </c>
      <c r="E1089" s="31" t="s">
        <v>144</v>
      </c>
      <c r="F1089" s="23" t="s">
        <v>49</v>
      </c>
      <c r="G1089" s="426" t="s">
        <v>1737</v>
      </c>
      <c r="H1089" s="133">
        <v>136</v>
      </c>
      <c r="I1089" s="158" t="s">
        <v>1738</v>
      </c>
      <c r="J1089" s="133">
        <v>5</v>
      </c>
      <c r="K1089" s="132" t="s">
        <v>218</v>
      </c>
      <c r="L1089" s="132" t="s">
        <v>218</v>
      </c>
      <c r="M1089" s="12">
        <v>12764</v>
      </c>
      <c r="N1089" s="133">
        <v>12872</v>
      </c>
      <c r="O1089" s="372">
        <v>1159</v>
      </c>
      <c r="P1089" s="327" t="s">
        <v>515</v>
      </c>
      <c r="Q1089" s="133">
        <v>1151</v>
      </c>
      <c r="R1089" s="327" t="s">
        <v>515</v>
      </c>
      <c r="S1089" s="133">
        <v>1039</v>
      </c>
      <c r="T1089" s="327" t="s">
        <v>515</v>
      </c>
      <c r="U1089" s="133">
        <v>1354</v>
      </c>
      <c r="V1089" s="327" t="s">
        <v>515</v>
      </c>
      <c r="W1089" s="133">
        <v>1062</v>
      </c>
      <c r="X1089" s="133" t="s">
        <v>515</v>
      </c>
      <c r="Y1089" s="133">
        <v>1097</v>
      </c>
      <c r="Z1089" s="327" t="s">
        <v>515</v>
      </c>
      <c r="AA1089" s="133">
        <v>1155</v>
      </c>
      <c r="AB1089" s="133" t="s">
        <v>515</v>
      </c>
      <c r="AC1089" s="133">
        <v>1027</v>
      </c>
      <c r="AD1089" s="327" t="s">
        <v>515</v>
      </c>
      <c r="AE1089" s="133">
        <v>1264</v>
      </c>
      <c r="AF1089" s="133" t="s">
        <v>515</v>
      </c>
      <c r="AG1089" s="133">
        <v>1350</v>
      </c>
      <c r="AH1089" s="327" t="s">
        <v>515</v>
      </c>
      <c r="AI1089" s="133">
        <v>0</v>
      </c>
      <c r="AJ1089" s="133" t="s">
        <v>515</v>
      </c>
      <c r="AK1089" s="133">
        <v>1214</v>
      </c>
      <c r="AL1089" s="327" t="s">
        <v>515</v>
      </c>
      <c r="AM1089" s="327">
        <f t="shared" si="27"/>
        <v>12872</v>
      </c>
    </row>
    <row r="1090" spans="1:39" ht="18" customHeight="1" x14ac:dyDescent="0.3">
      <c r="A1090" s="425"/>
      <c r="B1090" s="423"/>
      <c r="C1090" s="11" t="s">
        <v>268</v>
      </c>
      <c r="D1090" s="11" t="s">
        <v>1736</v>
      </c>
      <c r="E1090" s="31" t="s">
        <v>48</v>
      </c>
      <c r="F1090" s="23" t="s">
        <v>49</v>
      </c>
      <c r="G1090" s="427"/>
      <c r="H1090" s="133"/>
      <c r="I1090" s="158" t="s">
        <v>1738</v>
      </c>
      <c r="J1090" s="133"/>
      <c r="K1090" s="132" t="s">
        <v>218</v>
      </c>
      <c r="L1090" s="132" t="s">
        <v>218</v>
      </c>
      <c r="M1090" s="12">
        <v>13321</v>
      </c>
      <c r="N1090" s="133">
        <v>11061</v>
      </c>
      <c r="O1090" s="372">
        <v>1838</v>
      </c>
      <c r="P1090" s="327" t="s">
        <v>515</v>
      </c>
      <c r="Q1090" s="133">
        <v>1581</v>
      </c>
      <c r="R1090" s="327" t="s">
        <v>515</v>
      </c>
      <c r="S1090" s="133">
        <v>1693</v>
      </c>
      <c r="T1090" s="327" t="s">
        <v>515</v>
      </c>
      <c r="U1090" s="133">
        <v>611</v>
      </c>
      <c r="V1090" s="327" t="s">
        <v>515</v>
      </c>
      <c r="W1090" s="133">
        <v>769</v>
      </c>
      <c r="X1090" s="133" t="s">
        <v>515</v>
      </c>
      <c r="Y1090" s="133">
        <v>516</v>
      </c>
      <c r="Z1090" s="327" t="s">
        <v>515</v>
      </c>
      <c r="AA1090" s="133">
        <v>513</v>
      </c>
      <c r="AB1090" s="133" t="s">
        <v>515</v>
      </c>
      <c r="AC1090" s="133">
        <v>579</v>
      </c>
      <c r="AD1090" s="327" t="s">
        <v>515</v>
      </c>
      <c r="AE1090" s="133">
        <v>859</v>
      </c>
      <c r="AF1090" s="133" t="s">
        <v>515</v>
      </c>
      <c r="AG1090" s="133">
        <v>1161</v>
      </c>
      <c r="AH1090" s="327" t="s">
        <v>515</v>
      </c>
      <c r="AI1090" s="133">
        <v>0</v>
      </c>
      <c r="AJ1090" s="133" t="s">
        <v>515</v>
      </c>
      <c r="AK1090" s="133">
        <v>867</v>
      </c>
      <c r="AL1090" s="327" t="s">
        <v>515</v>
      </c>
      <c r="AM1090" s="327">
        <f t="shared" si="27"/>
        <v>10987</v>
      </c>
    </row>
    <row r="1091" spans="1:39" ht="18" customHeight="1" x14ac:dyDescent="0.3">
      <c r="A1091" s="424">
        <f t="shared" si="28"/>
        <v>727</v>
      </c>
      <c r="B1091" s="422" t="s">
        <v>1570</v>
      </c>
      <c r="C1091" s="11" t="s">
        <v>268</v>
      </c>
      <c r="D1091" s="11" t="s">
        <v>1736</v>
      </c>
      <c r="E1091" s="31" t="s">
        <v>144</v>
      </c>
      <c r="F1091" s="23" t="s">
        <v>49</v>
      </c>
      <c r="G1091" s="426" t="s">
        <v>1737</v>
      </c>
      <c r="H1091" s="133">
        <v>121</v>
      </c>
      <c r="I1091" s="158" t="s">
        <v>1738</v>
      </c>
      <c r="J1091" s="133">
        <v>5</v>
      </c>
      <c r="K1091" s="132" t="s">
        <v>218</v>
      </c>
      <c r="L1091" s="132" t="s">
        <v>218</v>
      </c>
      <c r="M1091" s="12">
        <v>12582</v>
      </c>
      <c r="N1091" s="133">
        <v>11045</v>
      </c>
      <c r="O1091" s="372">
        <v>1129</v>
      </c>
      <c r="P1091" s="327" t="s">
        <v>515</v>
      </c>
      <c r="Q1091" s="133">
        <v>989</v>
      </c>
      <c r="R1091" s="327" t="s">
        <v>515</v>
      </c>
      <c r="S1091" s="133">
        <v>891</v>
      </c>
      <c r="T1091" s="327" t="s">
        <v>515</v>
      </c>
      <c r="U1091" s="133">
        <v>1106</v>
      </c>
      <c r="V1091" s="327" t="s">
        <v>515</v>
      </c>
      <c r="W1091" s="133">
        <v>927</v>
      </c>
      <c r="X1091" s="133" t="s">
        <v>515</v>
      </c>
      <c r="Y1091" s="133">
        <v>820</v>
      </c>
      <c r="Z1091" s="327" t="s">
        <v>515</v>
      </c>
      <c r="AA1091" s="133">
        <v>834</v>
      </c>
      <c r="AB1091" s="133" t="s">
        <v>515</v>
      </c>
      <c r="AC1091" s="133">
        <v>675</v>
      </c>
      <c r="AD1091" s="327" t="s">
        <v>515</v>
      </c>
      <c r="AE1091" s="133">
        <v>830</v>
      </c>
      <c r="AF1091" s="133" t="s">
        <v>515</v>
      </c>
      <c r="AG1091" s="133">
        <v>796</v>
      </c>
      <c r="AH1091" s="327" t="s">
        <v>515</v>
      </c>
      <c r="AI1091" s="133">
        <v>1460</v>
      </c>
      <c r="AJ1091" s="133" t="s">
        <v>515</v>
      </c>
      <c r="AK1091" s="133">
        <v>588</v>
      </c>
      <c r="AL1091" s="327" t="s">
        <v>515</v>
      </c>
      <c r="AM1091" s="327">
        <f t="shared" si="27"/>
        <v>11045</v>
      </c>
    </row>
    <row r="1092" spans="1:39" ht="18" customHeight="1" x14ac:dyDescent="0.3">
      <c r="A1092" s="425"/>
      <c r="B1092" s="423"/>
      <c r="C1092" s="11" t="s">
        <v>268</v>
      </c>
      <c r="D1092" s="11" t="s">
        <v>1736</v>
      </c>
      <c r="E1092" s="31" t="s">
        <v>48</v>
      </c>
      <c r="F1092" s="23" t="s">
        <v>49</v>
      </c>
      <c r="G1092" s="427"/>
      <c r="H1092" s="133"/>
      <c r="I1092" s="158" t="s">
        <v>1738</v>
      </c>
      <c r="J1092" s="133"/>
      <c r="K1092" s="132" t="s">
        <v>218</v>
      </c>
      <c r="L1092" s="132" t="s">
        <v>218</v>
      </c>
      <c r="M1092" s="12">
        <v>11388</v>
      </c>
      <c r="N1092" s="133">
        <v>12325</v>
      </c>
      <c r="O1092" s="372">
        <v>1751</v>
      </c>
      <c r="P1092" s="327" t="s">
        <v>515</v>
      </c>
      <c r="Q1092" s="133">
        <v>1649</v>
      </c>
      <c r="R1092" s="327" t="s">
        <v>515</v>
      </c>
      <c r="S1092" s="133">
        <v>1747</v>
      </c>
      <c r="T1092" s="327" t="s">
        <v>515</v>
      </c>
      <c r="U1092" s="133">
        <v>722</v>
      </c>
      <c r="V1092" s="327" t="s">
        <v>515</v>
      </c>
      <c r="W1092" s="133">
        <v>867</v>
      </c>
      <c r="X1092" s="133" t="s">
        <v>515</v>
      </c>
      <c r="Y1092" s="133">
        <v>540</v>
      </c>
      <c r="Z1092" s="327" t="s">
        <v>515</v>
      </c>
      <c r="AA1092" s="133">
        <v>711</v>
      </c>
      <c r="AB1092" s="133" t="s">
        <v>515</v>
      </c>
      <c r="AC1092" s="133">
        <v>520</v>
      </c>
      <c r="AD1092" s="327" t="s">
        <v>515</v>
      </c>
      <c r="AE1092" s="133">
        <v>1011</v>
      </c>
      <c r="AF1092" s="133" t="s">
        <v>515</v>
      </c>
      <c r="AG1092" s="133">
        <v>873</v>
      </c>
      <c r="AH1092" s="327" t="s">
        <v>515</v>
      </c>
      <c r="AI1092" s="133">
        <v>1534</v>
      </c>
      <c r="AJ1092" s="133" t="s">
        <v>515</v>
      </c>
      <c r="AK1092" s="133">
        <v>1157</v>
      </c>
      <c r="AL1092" s="327" t="s">
        <v>515</v>
      </c>
      <c r="AM1092" s="327">
        <f t="shared" si="27"/>
        <v>13082</v>
      </c>
    </row>
    <row r="1093" spans="1:39" ht="18" customHeight="1" x14ac:dyDescent="0.3">
      <c r="A1093" s="424">
        <f t="shared" si="28"/>
        <v>728</v>
      </c>
      <c r="B1093" s="422" t="s">
        <v>1571</v>
      </c>
      <c r="C1093" s="11" t="s">
        <v>268</v>
      </c>
      <c r="D1093" s="11" t="s">
        <v>1736</v>
      </c>
      <c r="E1093" s="31" t="s">
        <v>144</v>
      </c>
      <c r="F1093" s="23" t="s">
        <v>49</v>
      </c>
      <c r="G1093" s="426" t="s">
        <v>1737</v>
      </c>
      <c r="H1093" s="133">
        <v>410</v>
      </c>
      <c r="I1093" s="158" t="s">
        <v>1738</v>
      </c>
      <c r="J1093" s="133">
        <v>18</v>
      </c>
      <c r="K1093" s="132" t="s">
        <v>218</v>
      </c>
      <c r="L1093" s="132" t="s">
        <v>218</v>
      </c>
      <c r="M1093" s="12">
        <v>56115</v>
      </c>
      <c r="N1093" s="133">
        <v>52532</v>
      </c>
      <c r="O1093" s="372">
        <v>4855</v>
      </c>
      <c r="P1093" s="327" t="s">
        <v>515</v>
      </c>
      <c r="Q1093" s="133">
        <v>4815</v>
      </c>
      <c r="R1093" s="327" t="s">
        <v>515</v>
      </c>
      <c r="S1093" s="133">
        <v>4535</v>
      </c>
      <c r="T1093" s="327" t="s">
        <v>515</v>
      </c>
      <c r="U1093" s="133">
        <v>5735</v>
      </c>
      <c r="V1093" s="327" t="s">
        <v>515</v>
      </c>
      <c r="W1093" s="133">
        <v>4520</v>
      </c>
      <c r="X1093" s="133" t="s">
        <v>515</v>
      </c>
      <c r="Y1093" s="133">
        <v>4950</v>
      </c>
      <c r="Z1093" s="327" t="s">
        <v>515</v>
      </c>
      <c r="AA1093" s="133">
        <v>5315</v>
      </c>
      <c r="AB1093" s="133" t="s">
        <v>515</v>
      </c>
      <c r="AC1093" s="133">
        <v>3640</v>
      </c>
      <c r="AD1093" s="327" t="s">
        <v>515</v>
      </c>
      <c r="AE1093" s="133">
        <v>4730</v>
      </c>
      <c r="AF1093" s="133" t="s">
        <v>515</v>
      </c>
      <c r="AG1093" s="133">
        <v>4985</v>
      </c>
      <c r="AH1093" s="327" t="s">
        <v>515</v>
      </c>
      <c r="AI1093" s="133">
        <v>0</v>
      </c>
      <c r="AJ1093" s="133" t="s">
        <v>515</v>
      </c>
      <c r="AK1093" s="133">
        <v>4452</v>
      </c>
      <c r="AL1093" s="327" t="s">
        <v>515</v>
      </c>
      <c r="AM1093" s="327">
        <f t="shared" si="27"/>
        <v>52532</v>
      </c>
    </row>
    <row r="1094" spans="1:39" ht="18" customHeight="1" x14ac:dyDescent="0.3">
      <c r="A1094" s="425"/>
      <c r="B1094" s="423"/>
      <c r="C1094" s="11" t="s">
        <v>268</v>
      </c>
      <c r="D1094" s="11" t="s">
        <v>1736</v>
      </c>
      <c r="E1094" s="31" t="s">
        <v>48</v>
      </c>
      <c r="F1094" s="23" t="s">
        <v>49</v>
      </c>
      <c r="G1094" s="427"/>
      <c r="H1094" s="133"/>
      <c r="I1094" s="158" t="s">
        <v>1738</v>
      </c>
      <c r="J1094" s="133"/>
      <c r="K1094" s="132" t="s">
        <v>218</v>
      </c>
      <c r="L1094" s="132" t="s">
        <v>218</v>
      </c>
      <c r="M1094" s="12">
        <v>73798</v>
      </c>
      <c r="N1094" s="133">
        <v>60669</v>
      </c>
      <c r="O1094" s="372">
        <v>9358</v>
      </c>
      <c r="P1094" s="327" t="s">
        <v>515</v>
      </c>
      <c r="Q1094" s="133">
        <v>6496</v>
      </c>
      <c r="R1094" s="327" t="s">
        <v>515</v>
      </c>
      <c r="S1094" s="133">
        <v>6776</v>
      </c>
      <c r="T1094" s="327" t="s">
        <v>515</v>
      </c>
      <c r="U1094" s="133">
        <v>346</v>
      </c>
      <c r="V1094" s="327" t="s">
        <v>515</v>
      </c>
      <c r="W1094" s="133">
        <v>4020</v>
      </c>
      <c r="X1094" s="133" t="s">
        <v>515</v>
      </c>
      <c r="Y1094" s="133">
        <v>3609</v>
      </c>
      <c r="Z1094" s="327" t="s">
        <v>515</v>
      </c>
      <c r="AA1094" s="133">
        <v>3834</v>
      </c>
      <c r="AB1094" s="133" t="s">
        <v>515</v>
      </c>
      <c r="AC1094" s="133">
        <v>3083</v>
      </c>
      <c r="AD1094" s="327" t="s">
        <v>515</v>
      </c>
      <c r="AE1094" s="133">
        <v>4878</v>
      </c>
      <c r="AF1094" s="133" t="s">
        <v>515</v>
      </c>
      <c r="AG1094" s="133">
        <v>5984</v>
      </c>
      <c r="AH1094" s="327" t="s">
        <v>515</v>
      </c>
      <c r="AI1094" s="133">
        <v>0</v>
      </c>
      <c r="AJ1094" s="133" t="s">
        <v>515</v>
      </c>
      <c r="AK1094" s="133">
        <v>4648</v>
      </c>
      <c r="AL1094" s="327" t="s">
        <v>515</v>
      </c>
      <c r="AM1094" s="327">
        <f t="shared" si="27"/>
        <v>53032</v>
      </c>
    </row>
    <row r="1095" spans="1:39" ht="18" customHeight="1" x14ac:dyDescent="0.3">
      <c r="A1095" s="424">
        <f t="shared" si="28"/>
        <v>729</v>
      </c>
      <c r="B1095" s="422" t="s">
        <v>1572</v>
      </c>
      <c r="C1095" s="11" t="s">
        <v>268</v>
      </c>
      <c r="D1095" s="11" t="s">
        <v>1736</v>
      </c>
      <c r="E1095" s="31" t="s">
        <v>144</v>
      </c>
      <c r="F1095" s="23" t="s">
        <v>49</v>
      </c>
      <c r="G1095" s="426" t="s">
        <v>1737</v>
      </c>
      <c r="H1095" s="133">
        <v>161</v>
      </c>
      <c r="I1095" s="158" t="s">
        <v>1738</v>
      </c>
      <c r="J1095" s="133">
        <v>6</v>
      </c>
      <c r="K1095" s="132" t="s">
        <v>218</v>
      </c>
      <c r="L1095" s="132" t="s">
        <v>218</v>
      </c>
      <c r="M1095" s="12">
        <v>13330</v>
      </c>
      <c r="N1095" s="133">
        <v>13090</v>
      </c>
      <c r="O1095" s="372">
        <v>1300</v>
      </c>
      <c r="P1095" s="327" t="s">
        <v>515</v>
      </c>
      <c r="Q1095" s="133">
        <v>1120</v>
      </c>
      <c r="R1095" s="327" t="s">
        <v>515</v>
      </c>
      <c r="S1095" s="133">
        <v>1050</v>
      </c>
      <c r="T1095" s="327" t="s">
        <v>515</v>
      </c>
      <c r="U1095" s="133">
        <v>1370</v>
      </c>
      <c r="V1095" s="327" t="s">
        <v>515</v>
      </c>
      <c r="W1095" s="133">
        <v>1070</v>
      </c>
      <c r="X1095" s="133" t="s">
        <v>515</v>
      </c>
      <c r="Y1095" s="133">
        <v>1160</v>
      </c>
      <c r="Z1095" s="327" t="s">
        <v>515</v>
      </c>
      <c r="AA1095" s="133">
        <v>1140</v>
      </c>
      <c r="AB1095" s="133" t="s">
        <v>515</v>
      </c>
      <c r="AC1095" s="133">
        <v>1110</v>
      </c>
      <c r="AD1095" s="327" t="s">
        <v>515</v>
      </c>
      <c r="AE1095" s="133">
        <v>1200</v>
      </c>
      <c r="AF1095" s="133" t="s">
        <v>515</v>
      </c>
      <c r="AG1095" s="133">
        <v>510</v>
      </c>
      <c r="AH1095" s="327" t="s">
        <v>515</v>
      </c>
      <c r="AI1095" s="133">
        <v>960</v>
      </c>
      <c r="AJ1095" s="133" t="s">
        <v>515</v>
      </c>
      <c r="AK1095" s="133">
        <v>1100</v>
      </c>
      <c r="AL1095" s="327" t="s">
        <v>515</v>
      </c>
      <c r="AM1095" s="327">
        <f t="shared" si="27"/>
        <v>13090</v>
      </c>
    </row>
    <row r="1096" spans="1:39" ht="18" customHeight="1" x14ac:dyDescent="0.3">
      <c r="A1096" s="425"/>
      <c r="B1096" s="423"/>
      <c r="C1096" s="11" t="s">
        <v>268</v>
      </c>
      <c r="D1096" s="11" t="s">
        <v>1736</v>
      </c>
      <c r="E1096" s="31" t="s">
        <v>48</v>
      </c>
      <c r="F1096" s="23" t="s">
        <v>49</v>
      </c>
      <c r="G1096" s="427"/>
      <c r="H1096" s="133"/>
      <c r="I1096" s="158" t="s">
        <v>1738</v>
      </c>
      <c r="J1096" s="133"/>
      <c r="K1096" s="132" t="s">
        <v>218</v>
      </c>
      <c r="L1096" s="132" t="s">
        <v>218</v>
      </c>
      <c r="M1096" s="12">
        <v>19890</v>
      </c>
      <c r="N1096" s="133">
        <v>19215</v>
      </c>
      <c r="O1096" s="372">
        <v>2732</v>
      </c>
      <c r="P1096" s="327" t="s">
        <v>515</v>
      </c>
      <c r="Q1096" s="133">
        <v>220</v>
      </c>
      <c r="R1096" s="327" t="s">
        <v>515</v>
      </c>
      <c r="S1096" s="133">
        <v>290</v>
      </c>
      <c r="T1096" s="327" t="s">
        <v>515</v>
      </c>
      <c r="U1096" s="133">
        <v>1352</v>
      </c>
      <c r="V1096" s="327" t="s">
        <v>515</v>
      </c>
      <c r="W1096" s="133">
        <v>1036</v>
      </c>
      <c r="X1096" s="133" t="s">
        <v>515</v>
      </c>
      <c r="Y1096" s="133">
        <v>1094</v>
      </c>
      <c r="Z1096" s="327" t="s">
        <v>515</v>
      </c>
      <c r="AA1096" s="133">
        <v>1226</v>
      </c>
      <c r="AB1096" s="133" t="s">
        <v>515</v>
      </c>
      <c r="AC1096" s="133">
        <v>1192</v>
      </c>
      <c r="AD1096" s="327" t="s">
        <v>515</v>
      </c>
      <c r="AE1096" s="133">
        <v>1626</v>
      </c>
      <c r="AF1096" s="133" t="s">
        <v>515</v>
      </c>
      <c r="AG1096" s="133">
        <v>805</v>
      </c>
      <c r="AH1096" s="327" t="s">
        <v>515</v>
      </c>
      <c r="AI1096" s="133">
        <v>1774</v>
      </c>
      <c r="AJ1096" s="133" t="s">
        <v>515</v>
      </c>
      <c r="AK1096" s="133">
        <v>2372</v>
      </c>
      <c r="AL1096" s="327" t="s">
        <v>515</v>
      </c>
      <c r="AM1096" s="327">
        <f t="shared" si="27"/>
        <v>15719</v>
      </c>
    </row>
    <row r="1097" spans="1:39" ht="18" customHeight="1" x14ac:dyDescent="0.3">
      <c r="A1097" s="424">
        <f t="shared" si="28"/>
        <v>730</v>
      </c>
      <c r="B1097" s="422" t="s">
        <v>1573</v>
      </c>
      <c r="C1097" s="11" t="s">
        <v>268</v>
      </c>
      <c r="D1097" s="11" t="s">
        <v>1736</v>
      </c>
      <c r="E1097" s="31" t="s">
        <v>144</v>
      </c>
      <c r="F1097" s="23" t="s">
        <v>49</v>
      </c>
      <c r="G1097" s="428" t="s">
        <v>336</v>
      </c>
      <c r="H1097" s="133">
        <v>186</v>
      </c>
      <c r="I1097" s="158" t="s">
        <v>1738</v>
      </c>
      <c r="J1097" s="133">
        <v>0</v>
      </c>
      <c r="K1097" s="132" t="s">
        <v>218</v>
      </c>
      <c r="L1097" s="132" t="s">
        <v>218</v>
      </c>
      <c r="M1097" s="12">
        <v>14955</v>
      </c>
      <c r="N1097" s="133">
        <v>33784</v>
      </c>
      <c r="O1097" s="372">
        <v>1577</v>
      </c>
      <c r="P1097" s="327" t="s">
        <v>515</v>
      </c>
      <c r="Q1097" s="133">
        <v>1182</v>
      </c>
      <c r="R1097" s="327" t="s">
        <v>515</v>
      </c>
      <c r="S1097" s="133">
        <v>1161</v>
      </c>
      <c r="T1097" s="327" t="s">
        <v>515</v>
      </c>
      <c r="U1097" s="133">
        <v>1499</v>
      </c>
      <c r="V1097" s="327" t="s">
        <v>515</v>
      </c>
      <c r="W1097" s="133">
        <v>1121</v>
      </c>
      <c r="X1097" s="133" t="s">
        <v>515</v>
      </c>
      <c r="Y1097" s="133">
        <v>1249</v>
      </c>
      <c r="Z1097" s="327" t="s">
        <v>515</v>
      </c>
      <c r="AA1097" s="133">
        <v>1025</v>
      </c>
      <c r="AB1097" s="133" t="s">
        <v>515</v>
      </c>
      <c r="AC1097" s="133">
        <v>998</v>
      </c>
      <c r="AD1097" s="327" t="s">
        <v>515</v>
      </c>
      <c r="AE1097" s="133">
        <v>1004</v>
      </c>
      <c r="AF1097" s="133" t="s">
        <v>515</v>
      </c>
      <c r="AG1097" s="133">
        <v>1308</v>
      </c>
      <c r="AH1097" s="327" t="s">
        <v>515</v>
      </c>
      <c r="AI1097" s="133">
        <v>0</v>
      </c>
      <c r="AJ1097" s="133" t="s">
        <v>515</v>
      </c>
      <c r="AK1097" s="133">
        <v>21660</v>
      </c>
      <c r="AL1097" s="327" t="s">
        <v>515</v>
      </c>
      <c r="AM1097" s="327">
        <f t="shared" si="27"/>
        <v>33784</v>
      </c>
    </row>
    <row r="1098" spans="1:39" ht="18" customHeight="1" x14ac:dyDescent="0.3">
      <c r="A1098" s="425"/>
      <c r="B1098" s="423"/>
      <c r="C1098" s="11" t="s">
        <v>268</v>
      </c>
      <c r="D1098" s="11" t="s">
        <v>1736</v>
      </c>
      <c r="E1098" s="31" t="s">
        <v>48</v>
      </c>
      <c r="F1098" s="23" t="s">
        <v>49</v>
      </c>
      <c r="G1098" s="429"/>
      <c r="H1098" s="133"/>
      <c r="I1098" s="158" t="s">
        <v>1738</v>
      </c>
      <c r="J1098" s="133"/>
      <c r="K1098" s="132" t="s">
        <v>218</v>
      </c>
      <c r="L1098" s="132" t="s">
        <v>218</v>
      </c>
      <c r="M1098" s="12">
        <v>24763</v>
      </c>
      <c r="N1098" s="133">
        <v>38384</v>
      </c>
      <c r="O1098" s="372">
        <v>2320</v>
      </c>
      <c r="P1098" s="327" t="s">
        <v>515</v>
      </c>
      <c r="Q1098" s="133">
        <v>2518</v>
      </c>
      <c r="R1098" s="327" t="s">
        <v>515</v>
      </c>
      <c r="S1098" s="133">
        <v>2539</v>
      </c>
      <c r="T1098" s="327" t="s">
        <v>515</v>
      </c>
      <c r="U1098" s="133">
        <v>1461</v>
      </c>
      <c r="V1098" s="327" t="s">
        <v>515</v>
      </c>
      <c r="W1098" s="133">
        <v>2140</v>
      </c>
      <c r="X1098" s="133" t="s">
        <v>515</v>
      </c>
      <c r="Y1098" s="133">
        <v>2333</v>
      </c>
      <c r="Z1098" s="327" t="s">
        <v>515</v>
      </c>
      <c r="AA1098" s="133">
        <v>1863</v>
      </c>
      <c r="AB1098" s="133" t="s">
        <v>515</v>
      </c>
      <c r="AC1098" s="133">
        <v>1966</v>
      </c>
      <c r="AD1098" s="327" t="s">
        <v>515</v>
      </c>
      <c r="AE1098" s="133">
        <v>2026</v>
      </c>
      <c r="AF1098" s="133" t="s">
        <v>515</v>
      </c>
      <c r="AG1098" s="133">
        <v>2829</v>
      </c>
      <c r="AH1098" s="327" t="s">
        <v>515</v>
      </c>
      <c r="AI1098" s="133">
        <v>16304</v>
      </c>
      <c r="AJ1098" s="133" t="s">
        <v>515</v>
      </c>
      <c r="AK1098" s="133">
        <v>153</v>
      </c>
      <c r="AL1098" s="327" t="s">
        <v>515</v>
      </c>
      <c r="AM1098" s="327">
        <f t="shared" si="27"/>
        <v>38452</v>
      </c>
    </row>
    <row r="1099" spans="1:39" ht="18" customHeight="1" x14ac:dyDescent="0.3">
      <c r="A1099" s="424">
        <f t="shared" si="28"/>
        <v>731</v>
      </c>
      <c r="B1099" s="422" t="s">
        <v>1574</v>
      </c>
      <c r="C1099" s="11" t="s">
        <v>268</v>
      </c>
      <c r="D1099" s="11" t="s">
        <v>1736</v>
      </c>
      <c r="E1099" s="31" t="s">
        <v>144</v>
      </c>
      <c r="F1099" s="23" t="s">
        <v>49</v>
      </c>
      <c r="G1099" s="426" t="s">
        <v>1737</v>
      </c>
      <c r="H1099" s="133">
        <v>339</v>
      </c>
      <c r="I1099" s="158" t="s">
        <v>1738</v>
      </c>
      <c r="J1099" s="133">
        <v>12</v>
      </c>
      <c r="K1099" s="132" t="s">
        <v>218</v>
      </c>
      <c r="L1099" s="132" t="s">
        <v>218</v>
      </c>
      <c r="M1099" s="12">
        <v>43448</v>
      </c>
      <c r="N1099" s="133">
        <v>42639</v>
      </c>
      <c r="O1099" s="372">
        <v>5086</v>
      </c>
      <c r="P1099" s="327" t="s">
        <v>515</v>
      </c>
      <c r="Q1099" s="133">
        <v>4374</v>
      </c>
      <c r="R1099" s="327" t="s">
        <v>515</v>
      </c>
      <c r="S1099" s="133">
        <v>3370</v>
      </c>
      <c r="T1099" s="327" t="s">
        <v>515</v>
      </c>
      <c r="U1099" s="133">
        <v>4307</v>
      </c>
      <c r="V1099" s="327" t="s">
        <v>515</v>
      </c>
      <c r="W1099" s="133">
        <v>3118</v>
      </c>
      <c r="X1099" s="133" t="s">
        <v>515</v>
      </c>
      <c r="Y1099" s="133">
        <v>3330</v>
      </c>
      <c r="Z1099" s="327" t="s">
        <v>515</v>
      </c>
      <c r="AA1099" s="133">
        <v>2825</v>
      </c>
      <c r="AB1099" s="133" t="s">
        <v>515</v>
      </c>
      <c r="AC1099" s="133">
        <v>2930</v>
      </c>
      <c r="AD1099" s="327" t="s">
        <v>515</v>
      </c>
      <c r="AE1099" s="133">
        <v>3309</v>
      </c>
      <c r="AF1099" s="133" t="s">
        <v>515</v>
      </c>
      <c r="AG1099" s="133">
        <v>3990</v>
      </c>
      <c r="AH1099" s="327" t="s">
        <v>515</v>
      </c>
      <c r="AI1099" s="133">
        <v>4155</v>
      </c>
      <c r="AJ1099" s="133" t="s">
        <v>515</v>
      </c>
      <c r="AK1099" s="133">
        <v>1845</v>
      </c>
      <c r="AL1099" s="327" t="s">
        <v>515</v>
      </c>
      <c r="AM1099" s="327">
        <f t="shared" si="27"/>
        <v>42639</v>
      </c>
    </row>
    <row r="1100" spans="1:39" ht="18" customHeight="1" x14ac:dyDescent="0.3">
      <c r="A1100" s="425"/>
      <c r="B1100" s="423"/>
      <c r="C1100" s="11" t="s">
        <v>268</v>
      </c>
      <c r="D1100" s="11" t="s">
        <v>1736</v>
      </c>
      <c r="E1100" s="31" t="s">
        <v>48</v>
      </c>
      <c r="F1100" s="23" t="s">
        <v>49</v>
      </c>
      <c r="G1100" s="427"/>
      <c r="H1100" s="133"/>
      <c r="I1100" s="158" t="s">
        <v>1738</v>
      </c>
      <c r="J1100" s="133"/>
      <c r="K1100" s="132" t="s">
        <v>218</v>
      </c>
      <c r="L1100" s="132" t="s">
        <v>218</v>
      </c>
      <c r="M1100" s="12">
        <v>26608</v>
      </c>
      <c r="N1100" s="133">
        <v>36850</v>
      </c>
      <c r="O1100" s="372">
        <v>3553</v>
      </c>
      <c r="P1100" s="327" t="s">
        <v>515</v>
      </c>
      <c r="Q1100" s="133">
        <v>2137</v>
      </c>
      <c r="R1100" s="327" t="s">
        <v>515</v>
      </c>
      <c r="S1100" s="133">
        <v>3141</v>
      </c>
      <c r="T1100" s="327" t="s">
        <v>515</v>
      </c>
      <c r="U1100" s="133">
        <v>694</v>
      </c>
      <c r="V1100" s="327" t="s">
        <v>515</v>
      </c>
      <c r="W1100" s="133">
        <v>2128</v>
      </c>
      <c r="X1100" s="133" t="s">
        <v>515</v>
      </c>
      <c r="Y1100" s="133">
        <v>2129</v>
      </c>
      <c r="Z1100" s="327" t="s">
        <v>515</v>
      </c>
      <c r="AA1100" s="133">
        <v>1725</v>
      </c>
      <c r="AB1100" s="133" t="s">
        <v>515</v>
      </c>
      <c r="AC1100" s="133">
        <v>1996</v>
      </c>
      <c r="AD1100" s="327" t="s">
        <v>515</v>
      </c>
      <c r="AE1100" s="133">
        <v>2462</v>
      </c>
      <c r="AF1100" s="133" t="s">
        <v>515</v>
      </c>
      <c r="AG1100" s="133">
        <v>3498</v>
      </c>
      <c r="AH1100" s="327" t="s">
        <v>515</v>
      </c>
      <c r="AI1100" s="133">
        <v>4337</v>
      </c>
      <c r="AJ1100" s="133" t="s">
        <v>515</v>
      </c>
      <c r="AK1100" s="133">
        <v>5069</v>
      </c>
      <c r="AL1100" s="327" t="s">
        <v>515</v>
      </c>
      <c r="AM1100" s="327">
        <f t="shared" si="27"/>
        <v>32869</v>
      </c>
    </row>
    <row r="1101" spans="1:39" ht="18" customHeight="1" x14ac:dyDescent="0.3">
      <c r="A1101" s="424">
        <f t="shared" si="28"/>
        <v>732</v>
      </c>
      <c r="B1101" s="422" t="s">
        <v>1575</v>
      </c>
      <c r="C1101" s="11" t="s">
        <v>268</v>
      </c>
      <c r="D1101" s="11" t="s">
        <v>1736</v>
      </c>
      <c r="E1101" s="31" t="s">
        <v>144</v>
      </c>
      <c r="F1101" s="23" t="s">
        <v>49</v>
      </c>
      <c r="G1101" s="426" t="s">
        <v>1737</v>
      </c>
      <c r="H1101" s="133">
        <v>309</v>
      </c>
      <c r="I1101" s="158" t="s">
        <v>1738</v>
      </c>
      <c r="J1101" s="133">
        <v>12</v>
      </c>
      <c r="K1101" s="132" t="s">
        <v>218</v>
      </c>
      <c r="L1101" s="132" t="s">
        <v>218</v>
      </c>
      <c r="M1101" s="12">
        <v>37300</v>
      </c>
      <c r="N1101" s="133">
        <v>36700</v>
      </c>
      <c r="O1101" s="372">
        <v>3520</v>
      </c>
      <c r="P1101" s="327" t="s">
        <v>515</v>
      </c>
      <c r="Q1101" s="133">
        <v>3160</v>
      </c>
      <c r="R1101" s="327" t="s">
        <v>515</v>
      </c>
      <c r="S1101" s="133">
        <v>2940</v>
      </c>
      <c r="T1101" s="327" t="s">
        <v>515</v>
      </c>
      <c r="U1101" s="133">
        <v>3600</v>
      </c>
      <c r="V1101" s="327" t="s">
        <v>515</v>
      </c>
      <c r="W1101" s="133">
        <v>2920</v>
      </c>
      <c r="X1101" s="133" t="s">
        <v>515</v>
      </c>
      <c r="Y1101" s="133">
        <v>3180</v>
      </c>
      <c r="Z1101" s="327" t="s">
        <v>515</v>
      </c>
      <c r="AA1101" s="133">
        <v>2640</v>
      </c>
      <c r="AB1101" s="133" t="s">
        <v>515</v>
      </c>
      <c r="AC1101" s="133">
        <v>2620</v>
      </c>
      <c r="AD1101" s="327" t="s">
        <v>515</v>
      </c>
      <c r="AE1101" s="133">
        <v>2800</v>
      </c>
      <c r="AF1101" s="133" t="s">
        <v>515</v>
      </c>
      <c r="AG1101" s="133">
        <v>3340</v>
      </c>
      <c r="AH1101" s="327" t="s">
        <v>515</v>
      </c>
      <c r="AI1101" s="133">
        <v>2960</v>
      </c>
      <c r="AJ1101" s="133" t="s">
        <v>515</v>
      </c>
      <c r="AK1101" s="133">
        <v>3020</v>
      </c>
      <c r="AL1101" s="327" t="s">
        <v>515</v>
      </c>
      <c r="AM1101" s="327">
        <f t="shared" si="27"/>
        <v>36700</v>
      </c>
    </row>
    <row r="1102" spans="1:39" ht="18" customHeight="1" x14ac:dyDescent="0.3">
      <c r="A1102" s="425"/>
      <c r="B1102" s="423"/>
      <c r="C1102" s="11" t="s">
        <v>268</v>
      </c>
      <c r="D1102" s="11" t="s">
        <v>1736</v>
      </c>
      <c r="E1102" s="31" t="s">
        <v>48</v>
      </c>
      <c r="F1102" s="23" t="s">
        <v>49</v>
      </c>
      <c r="G1102" s="427"/>
      <c r="H1102" s="133"/>
      <c r="I1102" s="158" t="s">
        <v>1738</v>
      </c>
      <c r="J1102" s="133"/>
      <c r="K1102" s="132" t="s">
        <v>218</v>
      </c>
      <c r="L1102" s="132" t="s">
        <v>218</v>
      </c>
      <c r="M1102" s="12">
        <v>45238</v>
      </c>
      <c r="N1102" s="133">
        <v>43678</v>
      </c>
      <c r="O1102" s="372">
        <v>6439</v>
      </c>
      <c r="P1102" s="327" t="s">
        <v>515</v>
      </c>
      <c r="Q1102" s="133">
        <v>2304</v>
      </c>
      <c r="R1102" s="327" t="s">
        <v>515</v>
      </c>
      <c r="S1102" s="133">
        <v>2524</v>
      </c>
      <c r="T1102" s="327" t="s">
        <v>515</v>
      </c>
      <c r="U1102" s="133">
        <v>1550</v>
      </c>
      <c r="V1102" s="327" t="s">
        <v>515</v>
      </c>
      <c r="W1102" s="133">
        <v>2173</v>
      </c>
      <c r="X1102" s="133" t="s">
        <v>515</v>
      </c>
      <c r="Y1102" s="133">
        <v>1535</v>
      </c>
      <c r="Z1102" s="327" t="s">
        <v>515</v>
      </c>
      <c r="AA1102" s="133">
        <v>1555</v>
      </c>
      <c r="AB1102" s="133" t="s">
        <v>515</v>
      </c>
      <c r="AC1102" s="133">
        <v>1941</v>
      </c>
      <c r="AD1102" s="327" t="s">
        <v>515</v>
      </c>
      <c r="AE1102" s="133">
        <v>2915</v>
      </c>
      <c r="AF1102" s="133" t="s">
        <v>515</v>
      </c>
      <c r="AG1102" s="133">
        <v>4631</v>
      </c>
      <c r="AH1102" s="327" t="s">
        <v>515</v>
      </c>
      <c r="AI1102" s="133">
        <v>4456</v>
      </c>
      <c r="AJ1102" s="133" t="s">
        <v>515</v>
      </c>
      <c r="AK1102" s="133">
        <v>5262</v>
      </c>
      <c r="AL1102" s="327" t="s">
        <v>515</v>
      </c>
      <c r="AM1102" s="327">
        <f t="shared" si="27"/>
        <v>37285</v>
      </c>
    </row>
    <row r="1103" spans="1:39" ht="18" customHeight="1" x14ac:dyDescent="0.3">
      <c r="A1103" s="424">
        <f t="shared" si="28"/>
        <v>733</v>
      </c>
      <c r="B1103" s="422" t="s">
        <v>1576</v>
      </c>
      <c r="C1103" s="11" t="s">
        <v>268</v>
      </c>
      <c r="D1103" s="11" t="s">
        <v>1736</v>
      </c>
      <c r="E1103" s="31" t="s">
        <v>144</v>
      </c>
      <c r="F1103" s="23" t="s">
        <v>49</v>
      </c>
      <c r="G1103" s="428" t="s">
        <v>336</v>
      </c>
      <c r="H1103" s="133">
        <v>409</v>
      </c>
      <c r="I1103" s="158" t="s">
        <v>1738</v>
      </c>
      <c r="J1103" s="133">
        <v>0</v>
      </c>
      <c r="K1103" s="132" t="s">
        <v>218</v>
      </c>
      <c r="L1103" s="132" t="s">
        <v>218</v>
      </c>
      <c r="M1103" s="12">
        <v>14448</v>
      </c>
      <c r="N1103" s="133">
        <v>13575</v>
      </c>
      <c r="O1103" s="372">
        <v>1045</v>
      </c>
      <c r="P1103" s="327" t="s">
        <v>515</v>
      </c>
      <c r="Q1103" s="133">
        <v>1228</v>
      </c>
      <c r="R1103" s="327" t="s">
        <v>515</v>
      </c>
      <c r="S1103" s="133">
        <v>1201</v>
      </c>
      <c r="T1103" s="327" t="s">
        <v>515</v>
      </c>
      <c r="U1103" s="133">
        <v>1253</v>
      </c>
      <c r="V1103" s="327" t="s">
        <v>515</v>
      </c>
      <c r="W1103" s="133">
        <v>1189</v>
      </c>
      <c r="X1103" s="133" t="s">
        <v>515</v>
      </c>
      <c r="Y1103" s="133">
        <v>1325</v>
      </c>
      <c r="Z1103" s="327" t="s">
        <v>515</v>
      </c>
      <c r="AA1103" s="133">
        <v>984</v>
      </c>
      <c r="AB1103" s="133" t="s">
        <v>515</v>
      </c>
      <c r="AC1103" s="133">
        <v>1093</v>
      </c>
      <c r="AD1103" s="327" t="s">
        <v>515</v>
      </c>
      <c r="AE1103" s="133">
        <v>1268</v>
      </c>
      <c r="AF1103" s="133" t="s">
        <v>515</v>
      </c>
      <c r="AG1103" s="133">
        <v>832</v>
      </c>
      <c r="AH1103" s="327" t="s">
        <v>515</v>
      </c>
      <c r="AI1103" s="133">
        <v>1108</v>
      </c>
      <c r="AJ1103" s="133" t="s">
        <v>515</v>
      </c>
      <c r="AK1103" s="133">
        <v>1049</v>
      </c>
      <c r="AL1103" s="327" t="s">
        <v>515</v>
      </c>
      <c r="AM1103" s="327">
        <f t="shared" si="27"/>
        <v>13575</v>
      </c>
    </row>
    <row r="1104" spans="1:39" ht="18" customHeight="1" x14ac:dyDescent="0.3">
      <c r="A1104" s="425"/>
      <c r="B1104" s="423"/>
      <c r="C1104" s="11" t="s">
        <v>268</v>
      </c>
      <c r="D1104" s="11" t="s">
        <v>1736</v>
      </c>
      <c r="E1104" s="31" t="s">
        <v>48</v>
      </c>
      <c r="F1104" s="23" t="s">
        <v>49</v>
      </c>
      <c r="G1104" s="429"/>
      <c r="H1104" s="133"/>
      <c r="I1104" s="158" t="s">
        <v>1738</v>
      </c>
      <c r="J1104" s="133"/>
      <c r="K1104" s="132" t="s">
        <v>218</v>
      </c>
      <c r="L1104" s="132" t="s">
        <v>218</v>
      </c>
      <c r="M1104" s="12">
        <v>12044</v>
      </c>
      <c r="N1104" s="133">
        <v>18812</v>
      </c>
      <c r="O1104" s="372">
        <v>1961</v>
      </c>
      <c r="P1104" s="327" t="s">
        <v>515</v>
      </c>
      <c r="Q1104" s="133">
        <v>1119</v>
      </c>
      <c r="R1104" s="327" t="s">
        <v>515</v>
      </c>
      <c r="S1104" s="133">
        <v>1146</v>
      </c>
      <c r="T1104" s="327" t="s">
        <v>515</v>
      </c>
      <c r="U1104" s="133">
        <v>603</v>
      </c>
      <c r="V1104" s="327" t="s">
        <v>515</v>
      </c>
      <c r="W1104" s="133">
        <v>1220</v>
      </c>
      <c r="X1104" s="133" t="s">
        <v>515</v>
      </c>
      <c r="Y1104" s="133">
        <v>935</v>
      </c>
      <c r="Z1104" s="327" t="s">
        <v>515</v>
      </c>
      <c r="AA1104" s="133">
        <v>828</v>
      </c>
      <c r="AB1104" s="133" t="s">
        <v>515</v>
      </c>
      <c r="AC1104" s="133">
        <v>935</v>
      </c>
      <c r="AD1104" s="327" t="s">
        <v>515</v>
      </c>
      <c r="AE1104" s="133">
        <v>1285</v>
      </c>
      <c r="AF1104" s="133" t="s">
        <v>515</v>
      </c>
      <c r="AG1104" s="133">
        <v>1522</v>
      </c>
      <c r="AH1104" s="327" t="s">
        <v>515</v>
      </c>
      <c r="AI1104" s="133">
        <v>2696</v>
      </c>
      <c r="AJ1104" s="133" t="s">
        <v>515</v>
      </c>
      <c r="AK1104" s="133">
        <v>2631</v>
      </c>
      <c r="AL1104" s="327" t="s">
        <v>515</v>
      </c>
      <c r="AM1104" s="327">
        <f t="shared" si="27"/>
        <v>16881</v>
      </c>
    </row>
    <row r="1105" spans="1:39" ht="18" customHeight="1" x14ac:dyDescent="0.3">
      <c r="A1105" s="424">
        <f t="shared" si="28"/>
        <v>734</v>
      </c>
      <c r="B1105" s="422" t="s">
        <v>1577</v>
      </c>
      <c r="C1105" s="11" t="s">
        <v>268</v>
      </c>
      <c r="D1105" s="11" t="s">
        <v>1736</v>
      </c>
      <c r="E1105" s="31" t="s">
        <v>144</v>
      </c>
      <c r="F1105" s="23" t="s">
        <v>49</v>
      </c>
      <c r="G1105" s="426" t="s">
        <v>1737</v>
      </c>
      <c r="H1105" s="133">
        <v>84</v>
      </c>
      <c r="I1105" s="158" t="s">
        <v>1738</v>
      </c>
      <c r="J1105" s="133">
        <v>9</v>
      </c>
      <c r="K1105" s="132" t="s">
        <v>218</v>
      </c>
      <c r="L1105" s="132" t="s">
        <v>218</v>
      </c>
      <c r="M1105" s="12">
        <v>0</v>
      </c>
      <c r="N1105" s="133">
        <v>0</v>
      </c>
      <c r="O1105" s="372">
        <v>0</v>
      </c>
      <c r="P1105" s="327" t="s">
        <v>515</v>
      </c>
      <c r="Q1105" s="133">
        <v>0</v>
      </c>
      <c r="R1105" s="327" t="s">
        <v>515</v>
      </c>
      <c r="S1105" s="133">
        <v>0</v>
      </c>
      <c r="T1105" s="327" t="s">
        <v>515</v>
      </c>
      <c r="U1105" s="133">
        <v>0</v>
      </c>
      <c r="V1105" s="327" t="s">
        <v>515</v>
      </c>
      <c r="W1105" s="133">
        <v>0</v>
      </c>
      <c r="X1105" s="133" t="s">
        <v>515</v>
      </c>
      <c r="Y1105" s="133">
        <v>0</v>
      </c>
      <c r="Z1105" s="327" t="s">
        <v>515</v>
      </c>
      <c r="AA1105" s="133">
        <v>0</v>
      </c>
      <c r="AB1105" s="133" t="s">
        <v>515</v>
      </c>
      <c r="AC1105" s="133">
        <v>0</v>
      </c>
      <c r="AD1105" s="327" t="s">
        <v>515</v>
      </c>
      <c r="AE1105" s="133">
        <v>0</v>
      </c>
      <c r="AF1105" s="133" t="s">
        <v>515</v>
      </c>
      <c r="AG1105" s="133">
        <v>0</v>
      </c>
      <c r="AH1105" s="327" t="s">
        <v>515</v>
      </c>
      <c r="AI1105" s="133">
        <v>0</v>
      </c>
      <c r="AJ1105" s="133" t="s">
        <v>515</v>
      </c>
      <c r="AK1105" s="133">
        <v>0</v>
      </c>
      <c r="AL1105" s="327" t="s">
        <v>515</v>
      </c>
      <c r="AM1105" s="327">
        <f t="shared" si="27"/>
        <v>0</v>
      </c>
    </row>
    <row r="1106" spans="1:39" ht="18" customHeight="1" x14ac:dyDescent="0.3">
      <c r="A1106" s="425"/>
      <c r="B1106" s="423"/>
      <c r="C1106" s="11" t="s">
        <v>268</v>
      </c>
      <c r="D1106" s="11" t="s">
        <v>1736</v>
      </c>
      <c r="E1106" s="31" t="s">
        <v>48</v>
      </c>
      <c r="F1106" s="23" t="s">
        <v>49</v>
      </c>
      <c r="G1106" s="427"/>
      <c r="H1106" s="133"/>
      <c r="I1106" s="158" t="s">
        <v>1738</v>
      </c>
      <c r="J1106" s="133"/>
      <c r="K1106" s="132" t="s">
        <v>218</v>
      </c>
      <c r="L1106" s="132" t="s">
        <v>218</v>
      </c>
      <c r="M1106" s="12">
        <v>13815</v>
      </c>
      <c r="N1106" s="133">
        <v>15261</v>
      </c>
      <c r="O1106" s="372">
        <v>2041</v>
      </c>
      <c r="P1106" s="327" t="s">
        <v>515</v>
      </c>
      <c r="Q1106" s="133">
        <v>1190</v>
      </c>
      <c r="R1106" s="327" t="s">
        <v>515</v>
      </c>
      <c r="S1106" s="133">
        <v>1190</v>
      </c>
      <c r="T1106" s="327" t="s">
        <v>515</v>
      </c>
      <c r="U1106" s="133">
        <v>1010</v>
      </c>
      <c r="V1106" s="327" t="s">
        <v>515</v>
      </c>
      <c r="W1106" s="133">
        <v>860</v>
      </c>
      <c r="X1106" s="133" t="s">
        <v>515</v>
      </c>
      <c r="Y1106" s="133">
        <v>515</v>
      </c>
      <c r="Z1106" s="327" t="s">
        <v>515</v>
      </c>
      <c r="AA1106" s="133">
        <v>550</v>
      </c>
      <c r="AB1106" s="133" t="s">
        <v>515</v>
      </c>
      <c r="AC1106" s="133">
        <v>675</v>
      </c>
      <c r="AD1106" s="327" t="s">
        <v>515</v>
      </c>
      <c r="AE1106" s="133">
        <v>1063</v>
      </c>
      <c r="AF1106" s="133" t="s">
        <v>515</v>
      </c>
      <c r="AG1106" s="133">
        <v>1488</v>
      </c>
      <c r="AH1106" s="327" t="s">
        <v>515</v>
      </c>
      <c r="AI1106" s="133">
        <v>1830</v>
      </c>
      <c r="AJ1106" s="133" t="s">
        <v>515</v>
      </c>
      <c r="AK1106" s="133">
        <v>1802</v>
      </c>
      <c r="AL1106" s="327" t="s">
        <v>515</v>
      </c>
      <c r="AM1106" s="327">
        <f t="shared" si="27"/>
        <v>14214</v>
      </c>
    </row>
    <row r="1107" spans="1:39" ht="18" customHeight="1" x14ac:dyDescent="0.3">
      <c r="A1107" s="424">
        <f t="shared" si="28"/>
        <v>735</v>
      </c>
      <c r="B1107" s="422" t="s">
        <v>1578</v>
      </c>
      <c r="C1107" s="11" t="s">
        <v>268</v>
      </c>
      <c r="D1107" s="11" t="s">
        <v>1736</v>
      </c>
      <c r="E1107" s="31" t="s">
        <v>144</v>
      </c>
      <c r="F1107" s="23" t="s">
        <v>49</v>
      </c>
      <c r="G1107" s="428" t="s">
        <v>336</v>
      </c>
      <c r="H1107" s="133">
        <v>706</v>
      </c>
      <c r="I1107" s="158" t="s">
        <v>1738</v>
      </c>
      <c r="J1107" s="133">
        <v>0</v>
      </c>
      <c r="K1107" s="132" t="s">
        <v>218</v>
      </c>
      <c r="L1107" s="132" t="s">
        <v>218</v>
      </c>
      <c r="M1107" s="12">
        <v>43060</v>
      </c>
      <c r="N1107" s="133">
        <v>36077</v>
      </c>
      <c r="O1107" s="372">
        <v>3130</v>
      </c>
      <c r="P1107" s="327" t="s">
        <v>515</v>
      </c>
      <c r="Q1107" s="133">
        <v>3530</v>
      </c>
      <c r="R1107" s="327" t="s">
        <v>515</v>
      </c>
      <c r="S1107" s="133">
        <v>3430</v>
      </c>
      <c r="T1107" s="327" t="s">
        <v>515</v>
      </c>
      <c r="U1107" s="133">
        <v>4440</v>
      </c>
      <c r="V1107" s="327" t="s">
        <v>515</v>
      </c>
      <c r="W1107" s="133">
        <v>3420</v>
      </c>
      <c r="X1107" s="133" t="s">
        <v>515</v>
      </c>
      <c r="Y1107" s="133">
        <v>3580</v>
      </c>
      <c r="Z1107" s="327" t="s">
        <v>515</v>
      </c>
      <c r="AA1107" s="133">
        <v>2680</v>
      </c>
      <c r="AB1107" s="133" t="s">
        <v>515</v>
      </c>
      <c r="AC1107" s="133">
        <v>2940</v>
      </c>
      <c r="AD1107" s="327" t="s">
        <v>515</v>
      </c>
      <c r="AE1107" s="133">
        <v>3210</v>
      </c>
      <c r="AF1107" s="133" t="s">
        <v>515</v>
      </c>
      <c r="AG1107" s="133">
        <v>2750</v>
      </c>
      <c r="AH1107" s="327" t="s">
        <v>515</v>
      </c>
      <c r="AI1107" s="133">
        <v>0</v>
      </c>
      <c r="AJ1107" s="133" t="s">
        <v>515</v>
      </c>
      <c r="AK1107" s="133">
        <v>2967</v>
      </c>
      <c r="AL1107" s="327" t="s">
        <v>515</v>
      </c>
      <c r="AM1107" s="327">
        <f t="shared" si="27"/>
        <v>36077</v>
      </c>
    </row>
    <row r="1108" spans="1:39" ht="18" customHeight="1" x14ac:dyDescent="0.3">
      <c r="A1108" s="425"/>
      <c r="B1108" s="423"/>
      <c r="C1108" s="11" t="s">
        <v>268</v>
      </c>
      <c r="D1108" s="11" t="s">
        <v>1736</v>
      </c>
      <c r="E1108" s="31" t="s">
        <v>48</v>
      </c>
      <c r="F1108" s="23" t="s">
        <v>49</v>
      </c>
      <c r="G1108" s="429"/>
      <c r="H1108" s="133"/>
      <c r="I1108" s="158" t="s">
        <v>1738</v>
      </c>
      <c r="J1108" s="133"/>
      <c r="K1108" s="132" t="s">
        <v>218</v>
      </c>
      <c r="L1108" s="132" t="s">
        <v>218</v>
      </c>
      <c r="M1108" s="12">
        <v>55570</v>
      </c>
      <c r="N1108" s="133">
        <v>47724</v>
      </c>
      <c r="O1108" s="372">
        <v>4905</v>
      </c>
      <c r="P1108" s="327" t="s">
        <v>515</v>
      </c>
      <c r="Q1108" s="133">
        <v>5785</v>
      </c>
      <c r="R1108" s="327" t="s">
        <v>515</v>
      </c>
      <c r="S1108" s="133">
        <v>5885</v>
      </c>
      <c r="T1108" s="327" t="s">
        <v>515</v>
      </c>
      <c r="U1108" s="133">
        <v>3761</v>
      </c>
      <c r="V1108" s="327" t="s">
        <v>515</v>
      </c>
      <c r="W1108" s="133">
        <v>3755</v>
      </c>
      <c r="X1108" s="133" t="s">
        <v>515</v>
      </c>
      <c r="Y1108" s="133">
        <v>3564</v>
      </c>
      <c r="Z1108" s="327" t="s">
        <v>515</v>
      </c>
      <c r="AA1108" s="133">
        <v>3384</v>
      </c>
      <c r="AB1108" s="133" t="s">
        <v>515</v>
      </c>
      <c r="AC1108" s="133">
        <v>4416</v>
      </c>
      <c r="AD1108" s="327" t="s">
        <v>515</v>
      </c>
      <c r="AE1108" s="133">
        <v>4418</v>
      </c>
      <c r="AF1108" s="133" t="s">
        <v>515</v>
      </c>
      <c r="AG1108" s="133">
        <v>3702</v>
      </c>
      <c r="AH1108" s="327" t="s">
        <v>515</v>
      </c>
      <c r="AI1108" s="133">
        <v>0</v>
      </c>
      <c r="AJ1108" s="133" t="s">
        <v>515</v>
      </c>
      <c r="AK1108" s="133">
        <v>4179</v>
      </c>
      <c r="AL1108" s="327" t="s">
        <v>515</v>
      </c>
      <c r="AM1108" s="327">
        <f t="shared" si="27"/>
        <v>47754</v>
      </c>
    </row>
    <row r="1109" spans="1:39" ht="18" customHeight="1" x14ac:dyDescent="0.3">
      <c r="A1109" s="424">
        <f t="shared" si="28"/>
        <v>736</v>
      </c>
      <c r="B1109" s="422" t="s">
        <v>1579</v>
      </c>
      <c r="C1109" s="11" t="s">
        <v>268</v>
      </c>
      <c r="D1109" s="11" t="s">
        <v>1736</v>
      </c>
      <c r="E1109" s="31" t="s">
        <v>144</v>
      </c>
      <c r="F1109" s="23" t="s">
        <v>49</v>
      </c>
      <c r="G1109" s="428" t="s">
        <v>336</v>
      </c>
      <c r="H1109" s="133">
        <v>291</v>
      </c>
      <c r="I1109" s="158" t="s">
        <v>1738</v>
      </c>
      <c r="J1109" s="133">
        <v>0</v>
      </c>
      <c r="K1109" s="132" t="s">
        <v>218</v>
      </c>
      <c r="L1109" s="132" t="s">
        <v>218</v>
      </c>
      <c r="M1109" s="12">
        <v>16803</v>
      </c>
      <c r="N1109" s="133">
        <v>17379</v>
      </c>
      <c r="O1109" s="372">
        <v>1580</v>
      </c>
      <c r="P1109" s="327" t="s">
        <v>515</v>
      </c>
      <c r="Q1109" s="133">
        <v>1456</v>
      </c>
      <c r="R1109" s="327" t="s">
        <v>515</v>
      </c>
      <c r="S1109" s="133">
        <v>1403</v>
      </c>
      <c r="T1109" s="327" t="s">
        <v>515</v>
      </c>
      <c r="U1109" s="133">
        <v>1749</v>
      </c>
      <c r="V1109" s="327" t="s">
        <v>515</v>
      </c>
      <c r="W1109" s="133">
        <v>1833</v>
      </c>
      <c r="X1109" s="133" t="s">
        <v>515</v>
      </c>
      <c r="Y1109" s="133">
        <v>1562</v>
      </c>
      <c r="Z1109" s="327" t="s">
        <v>515</v>
      </c>
      <c r="AA1109" s="133">
        <v>1128</v>
      </c>
      <c r="AB1109" s="133" t="s">
        <v>515</v>
      </c>
      <c r="AC1109" s="133">
        <v>1350</v>
      </c>
      <c r="AD1109" s="327" t="s">
        <v>515</v>
      </c>
      <c r="AE1109" s="133">
        <v>1452</v>
      </c>
      <c r="AF1109" s="133" t="s">
        <v>515</v>
      </c>
      <c r="AG1109" s="133">
        <v>1219</v>
      </c>
      <c r="AH1109" s="327" t="s">
        <v>515</v>
      </c>
      <c r="AI1109" s="133">
        <v>1403</v>
      </c>
      <c r="AJ1109" s="133" t="s">
        <v>515</v>
      </c>
      <c r="AK1109" s="133">
        <v>1244</v>
      </c>
      <c r="AL1109" s="327" t="s">
        <v>515</v>
      </c>
      <c r="AM1109" s="327">
        <f t="shared" si="27"/>
        <v>17379</v>
      </c>
    </row>
    <row r="1110" spans="1:39" ht="18" customHeight="1" x14ac:dyDescent="0.3">
      <c r="A1110" s="425"/>
      <c r="B1110" s="423"/>
      <c r="C1110" s="11" t="s">
        <v>268</v>
      </c>
      <c r="D1110" s="11" t="s">
        <v>1736</v>
      </c>
      <c r="E1110" s="31" t="s">
        <v>48</v>
      </c>
      <c r="F1110" s="23" t="s">
        <v>49</v>
      </c>
      <c r="G1110" s="429"/>
      <c r="H1110" s="133"/>
      <c r="I1110" s="158" t="s">
        <v>1738</v>
      </c>
      <c r="J1110" s="133"/>
      <c r="K1110" s="132" t="s">
        <v>218</v>
      </c>
      <c r="L1110" s="132" t="s">
        <v>218</v>
      </c>
      <c r="M1110" s="12">
        <v>19398</v>
      </c>
      <c r="N1110" s="133">
        <v>15664</v>
      </c>
      <c r="O1110" s="372">
        <v>1505</v>
      </c>
      <c r="P1110" s="327" t="s">
        <v>515</v>
      </c>
      <c r="Q1110" s="133">
        <v>1147</v>
      </c>
      <c r="R1110" s="327" t="s">
        <v>515</v>
      </c>
      <c r="S1110" s="133">
        <v>1200</v>
      </c>
      <c r="T1110" s="327" t="s">
        <v>515</v>
      </c>
      <c r="U1110" s="133">
        <v>423</v>
      </c>
      <c r="V1110" s="327" t="s">
        <v>515</v>
      </c>
      <c r="W1110" s="133">
        <v>1288</v>
      </c>
      <c r="X1110" s="133" t="s">
        <v>515</v>
      </c>
      <c r="Y1110" s="133">
        <v>837</v>
      </c>
      <c r="Z1110" s="327" t="s">
        <v>515</v>
      </c>
      <c r="AA1110" s="133">
        <v>629</v>
      </c>
      <c r="AB1110" s="133" t="s">
        <v>515</v>
      </c>
      <c r="AC1110" s="133">
        <v>861</v>
      </c>
      <c r="AD1110" s="327" t="s">
        <v>515</v>
      </c>
      <c r="AE1110" s="133">
        <v>1128</v>
      </c>
      <c r="AF1110" s="133" t="s">
        <v>515</v>
      </c>
      <c r="AG1110" s="133">
        <v>1141</v>
      </c>
      <c r="AH1110" s="327" t="s">
        <v>515</v>
      </c>
      <c r="AI1110" s="133">
        <v>1614</v>
      </c>
      <c r="AJ1110" s="133" t="s">
        <v>515</v>
      </c>
      <c r="AK1110" s="133">
        <v>1700</v>
      </c>
      <c r="AL1110" s="327" t="s">
        <v>515</v>
      </c>
      <c r="AM1110" s="327">
        <f t="shared" si="27"/>
        <v>13473</v>
      </c>
    </row>
    <row r="1111" spans="1:39" ht="18" customHeight="1" x14ac:dyDescent="0.3">
      <c r="A1111" s="424">
        <f t="shared" si="28"/>
        <v>737</v>
      </c>
      <c r="B1111" s="422" t="s">
        <v>1580</v>
      </c>
      <c r="C1111" s="11" t="s">
        <v>268</v>
      </c>
      <c r="D1111" s="11" t="s">
        <v>1736</v>
      </c>
      <c r="E1111" s="31" t="s">
        <v>144</v>
      </c>
      <c r="F1111" s="23" t="s">
        <v>49</v>
      </c>
      <c r="G1111" s="426" t="s">
        <v>1737</v>
      </c>
      <c r="H1111" s="133">
        <v>85</v>
      </c>
      <c r="I1111" s="158" t="s">
        <v>1738</v>
      </c>
      <c r="J1111" s="133">
        <v>0</v>
      </c>
      <c r="K1111" s="132" t="s">
        <v>218</v>
      </c>
      <c r="L1111" s="132" t="s">
        <v>218</v>
      </c>
      <c r="M1111" s="12">
        <v>0</v>
      </c>
      <c r="N1111" s="133">
        <v>0</v>
      </c>
      <c r="O1111" s="372">
        <v>0</v>
      </c>
      <c r="P1111" s="327" t="s">
        <v>515</v>
      </c>
      <c r="Q1111" s="133">
        <v>0</v>
      </c>
      <c r="R1111" s="327" t="s">
        <v>515</v>
      </c>
      <c r="S1111" s="133">
        <v>0</v>
      </c>
      <c r="T1111" s="327" t="s">
        <v>515</v>
      </c>
      <c r="U1111" s="133">
        <v>0</v>
      </c>
      <c r="V1111" s="327" t="s">
        <v>515</v>
      </c>
      <c r="W1111" s="133">
        <v>0</v>
      </c>
      <c r="X1111" s="133" t="s">
        <v>515</v>
      </c>
      <c r="Y1111" s="133">
        <v>0</v>
      </c>
      <c r="Z1111" s="327" t="s">
        <v>515</v>
      </c>
      <c r="AA1111" s="133">
        <v>0</v>
      </c>
      <c r="AB1111" s="133" t="s">
        <v>515</v>
      </c>
      <c r="AC1111" s="133">
        <v>0</v>
      </c>
      <c r="AD1111" s="327" t="s">
        <v>515</v>
      </c>
      <c r="AE1111" s="133">
        <v>0</v>
      </c>
      <c r="AF1111" s="133" t="s">
        <v>515</v>
      </c>
      <c r="AG1111" s="133">
        <v>0</v>
      </c>
      <c r="AH1111" s="327" t="s">
        <v>515</v>
      </c>
      <c r="AI1111" s="133">
        <v>0</v>
      </c>
      <c r="AJ1111" s="133" t="s">
        <v>515</v>
      </c>
      <c r="AK1111" s="133">
        <v>0</v>
      </c>
      <c r="AL1111" s="327" t="s">
        <v>515</v>
      </c>
      <c r="AM1111" s="327">
        <f t="shared" si="27"/>
        <v>0</v>
      </c>
    </row>
    <row r="1112" spans="1:39" ht="18" customHeight="1" x14ac:dyDescent="0.3">
      <c r="A1112" s="425"/>
      <c r="B1112" s="423"/>
      <c r="C1112" s="11" t="s">
        <v>268</v>
      </c>
      <c r="D1112" s="11" t="s">
        <v>1736</v>
      </c>
      <c r="E1112" s="31" t="s">
        <v>48</v>
      </c>
      <c r="F1112" s="23" t="s">
        <v>49</v>
      </c>
      <c r="G1112" s="427"/>
      <c r="H1112" s="133"/>
      <c r="I1112" s="158" t="s">
        <v>1738</v>
      </c>
      <c r="J1112" s="133"/>
      <c r="K1112" s="132" t="s">
        <v>218</v>
      </c>
      <c r="L1112" s="132" t="s">
        <v>218</v>
      </c>
      <c r="M1112" s="12">
        <v>8977</v>
      </c>
      <c r="N1112" s="133">
        <v>11124</v>
      </c>
      <c r="O1112" s="372">
        <v>1191</v>
      </c>
      <c r="P1112" s="327" t="s">
        <v>515</v>
      </c>
      <c r="Q1112" s="133">
        <v>673</v>
      </c>
      <c r="R1112" s="327" t="s">
        <v>515</v>
      </c>
      <c r="S1112" s="133">
        <v>673</v>
      </c>
      <c r="T1112" s="327" t="s">
        <v>515</v>
      </c>
      <c r="U1112" s="133">
        <v>478</v>
      </c>
      <c r="V1112" s="327" t="s">
        <v>515</v>
      </c>
      <c r="W1112" s="133">
        <v>553</v>
      </c>
      <c r="X1112" s="133" t="s">
        <v>515</v>
      </c>
      <c r="Y1112" s="133">
        <v>598</v>
      </c>
      <c r="Z1112" s="327" t="s">
        <v>515</v>
      </c>
      <c r="AA1112" s="133">
        <v>602</v>
      </c>
      <c r="AB1112" s="133" t="s">
        <v>515</v>
      </c>
      <c r="AC1112" s="133">
        <v>536</v>
      </c>
      <c r="AD1112" s="327" t="s">
        <v>515</v>
      </c>
      <c r="AE1112" s="133">
        <v>975</v>
      </c>
      <c r="AF1112" s="133" t="s">
        <v>515</v>
      </c>
      <c r="AG1112" s="133">
        <v>797</v>
      </c>
      <c r="AH1112" s="327" t="s">
        <v>515</v>
      </c>
      <c r="AI1112" s="133">
        <v>1441</v>
      </c>
      <c r="AJ1112" s="133" t="s">
        <v>515</v>
      </c>
      <c r="AK1112" s="133">
        <v>1374</v>
      </c>
      <c r="AL1112" s="327" t="s">
        <v>515</v>
      </c>
      <c r="AM1112" s="327">
        <f t="shared" si="27"/>
        <v>9891</v>
      </c>
    </row>
    <row r="1113" spans="1:39" ht="18" customHeight="1" x14ac:dyDescent="0.3">
      <c r="A1113" s="424">
        <f t="shared" si="28"/>
        <v>738</v>
      </c>
      <c r="B1113" s="422" t="s">
        <v>1581</v>
      </c>
      <c r="C1113" s="11" t="s">
        <v>268</v>
      </c>
      <c r="D1113" s="11" t="s">
        <v>1736</v>
      </c>
      <c r="E1113" s="31" t="s">
        <v>144</v>
      </c>
      <c r="F1113" s="23" t="s">
        <v>49</v>
      </c>
      <c r="G1113" s="426" t="s">
        <v>1737</v>
      </c>
      <c r="H1113" s="133">
        <v>84</v>
      </c>
      <c r="I1113" s="158" t="s">
        <v>1738</v>
      </c>
      <c r="J1113" s="133">
        <v>0</v>
      </c>
      <c r="K1113" s="132" t="s">
        <v>218</v>
      </c>
      <c r="L1113" s="132" t="s">
        <v>218</v>
      </c>
      <c r="M1113" s="12">
        <v>0</v>
      </c>
      <c r="N1113" s="133">
        <v>0</v>
      </c>
      <c r="O1113" s="372">
        <v>0</v>
      </c>
      <c r="P1113" s="327" t="s">
        <v>515</v>
      </c>
      <c r="Q1113" s="133">
        <v>0</v>
      </c>
      <c r="R1113" s="327" t="s">
        <v>515</v>
      </c>
      <c r="S1113" s="133">
        <v>0</v>
      </c>
      <c r="T1113" s="327" t="s">
        <v>515</v>
      </c>
      <c r="U1113" s="133">
        <v>0</v>
      </c>
      <c r="V1113" s="327" t="s">
        <v>515</v>
      </c>
      <c r="W1113" s="133">
        <v>0</v>
      </c>
      <c r="X1113" s="133" t="s">
        <v>515</v>
      </c>
      <c r="Y1113" s="133">
        <v>0</v>
      </c>
      <c r="Z1113" s="327" t="s">
        <v>515</v>
      </c>
      <c r="AA1113" s="133">
        <v>0</v>
      </c>
      <c r="AB1113" s="133" t="s">
        <v>515</v>
      </c>
      <c r="AC1113" s="133">
        <v>0</v>
      </c>
      <c r="AD1113" s="327" t="s">
        <v>515</v>
      </c>
      <c r="AE1113" s="133">
        <v>0</v>
      </c>
      <c r="AF1113" s="133" t="s">
        <v>515</v>
      </c>
      <c r="AG1113" s="133">
        <v>0</v>
      </c>
      <c r="AH1113" s="327" t="s">
        <v>515</v>
      </c>
      <c r="AI1113" s="133">
        <v>0</v>
      </c>
      <c r="AJ1113" s="133" t="s">
        <v>515</v>
      </c>
      <c r="AK1113" s="133">
        <v>0</v>
      </c>
      <c r="AL1113" s="327" t="s">
        <v>515</v>
      </c>
      <c r="AM1113" s="327">
        <f t="shared" si="27"/>
        <v>0</v>
      </c>
    </row>
    <row r="1114" spans="1:39" ht="18" customHeight="1" x14ac:dyDescent="0.3">
      <c r="A1114" s="425"/>
      <c r="B1114" s="423"/>
      <c r="C1114" s="11" t="s">
        <v>268</v>
      </c>
      <c r="D1114" s="11" t="s">
        <v>1736</v>
      </c>
      <c r="E1114" s="31" t="s">
        <v>48</v>
      </c>
      <c r="F1114" s="23" t="s">
        <v>49</v>
      </c>
      <c r="G1114" s="427"/>
      <c r="H1114" s="133"/>
      <c r="I1114" s="158" t="s">
        <v>1738</v>
      </c>
      <c r="J1114" s="133"/>
      <c r="K1114" s="132" t="s">
        <v>218</v>
      </c>
      <c r="L1114" s="132" t="s">
        <v>218</v>
      </c>
      <c r="M1114" s="12">
        <v>10834</v>
      </c>
      <c r="N1114" s="133">
        <v>14012</v>
      </c>
      <c r="O1114" s="372">
        <v>1529</v>
      </c>
      <c r="P1114" s="327" t="s">
        <v>515</v>
      </c>
      <c r="Q1114" s="133">
        <v>1505</v>
      </c>
      <c r="R1114" s="327" t="s">
        <v>515</v>
      </c>
      <c r="S1114" s="133">
        <v>1505</v>
      </c>
      <c r="T1114" s="327" t="s">
        <v>515</v>
      </c>
      <c r="U1114" s="133">
        <v>749</v>
      </c>
      <c r="V1114" s="327" t="s">
        <v>515</v>
      </c>
      <c r="W1114" s="133">
        <v>607</v>
      </c>
      <c r="X1114" s="133" t="s">
        <v>515</v>
      </c>
      <c r="Y1114" s="133">
        <v>1050</v>
      </c>
      <c r="Z1114" s="327" t="s">
        <v>515</v>
      </c>
      <c r="AA1114" s="133">
        <v>882</v>
      </c>
      <c r="AB1114" s="133" t="s">
        <v>515</v>
      </c>
      <c r="AC1114" s="133">
        <v>802</v>
      </c>
      <c r="AD1114" s="327" t="s">
        <v>515</v>
      </c>
      <c r="AE1114" s="133">
        <v>1090</v>
      </c>
      <c r="AF1114" s="133" t="s">
        <v>515</v>
      </c>
      <c r="AG1114" s="133">
        <v>1366</v>
      </c>
      <c r="AH1114" s="327" t="s">
        <v>515</v>
      </c>
      <c r="AI1114" s="133">
        <v>1739</v>
      </c>
      <c r="AJ1114" s="133" t="s">
        <v>515</v>
      </c>
      <c r="AK1114" s="133">
        <v>1412</v>
      </c>
      <c r="AL1114" s="327" t="s">
        <v>515</v>
      </c>
      <c r="AM1114" s="327">
        <f t="shared" si="27"/>
        <v>14236</v>
      </c>
    </row>
    <row r="1115" spans="1:39" ht="18" customHeight="1" x14ac:dyDescent="0.3">
      <c r="A1115" s="424">
        <f t="shared" si="28"/>
        <v>739</v>
      </c>
      <c r="B1115" s="422" t="s">
        <v>1582</v>
      </c>
      <c r="C1115" s="11" t="s">
        <v>268</v>
      </c>
      <c r="D1115" s="11" t="s">
        <v>1736</v>
      </c>
      <c r="E1115" s="31" t="s">
        <v>144</v>
      </c>
      <c r="F1115" s="23" t="s">
        <v>49</v>
      </c>
      <c r="G1115" s="426" t="s">
        <v>1737</v>
      </c>
      <c r="H1115" s="133">
        <v>62</v>
      </c>
      <c r="I1115" s="158" t="s">
        <v>1738</v>
      </c>
      <c r="J1115" s="133">
        <v>0</v>
      </c>
      <c r="K1115" s="132" t="s">
        <v>218</v>
      </c>
      <c r="L1115" s="132" t="s">
        <v>218</v>
      </c>
      <c r="M1115" s="12">
        <v>0</v>
      </c>
      <c r="N1115" s="133">
        <v>0</v>
      </c>
      <c r="O1115" s="372">
        <v>0</v>
      </c>
      <c r="P1115" s="327" t="s">
        <v>515</v>
      </c>
      <c r="Q1115" s="133">
        <v>0</v>
      </c>
      <c r="R1115" s="327" t="s">
        <v>515</v>
      </c>
      <c r="S1115" s="133">
        <v>0</v>
      </c>
      <c r="T1115" s="327" t="s">
        <v>515</v>
      </c>
      <c r="U1115" s="133">
        <v>0</v>
      </c>
      <c r="V1115" s="327" t="s">
        <v>515</v>
      </c>
      <c r="W1115" s="133">
        <v>0</v>
      </c>
      <c r="X1115" s="133" t="s">
        <v>515</v>
      </c>
      <c r="Y1115" s="133">
        <v>0</v>
      </c>
      <c r="Z1115" s="327" t="s">
        <v>515</v>
      </c>
      <c r="AA1115" s="133">
        <v>0</v>
      </c>
      <c r="AB1115" s="133" t="s">
        <v>515</v>
      </c>
      <c r="AC1115" s="133">
        <v>0</v>
      </c>
      <c r="AD1115" s="327" t="s">
        <v>515</v>
      </c>
      <c r="AE1115" s="133">
        <v>0</v>
      </c>
      <c r="AF1115" s="133" t="s">
        <v>515</v>
      </c>
      <c r="AG1115" s="133">
        <v>0</v>
      </c>
      <c r="AH1115" s="327" t="s">
        <v>515</v>
      </c>
      <c r="AI1115" s="133">
        <v>0</v>
      </c>
      <c r="AJ1115" s="133" t="s">
        <v>515</v>
      </c>
      <c r="AK1115" s="133">
        <v>0</v>
      </c>
      <c r="AL1115" s="327" t="s">
        <v>515</v>
      </c>
      <c r="AM1115" s="327">
        <f t="shared" si="27"/>
        <v>0</v>
      </c>
    </row>
    <row r="1116" spans="1:39" ht="18" customHeight="1" x14ac:dyDescent="0.3">
      <c r="A1116" s="425"/>
      <c r="B1116" s="423"/>
      <c r="C1116" s="11" t="s">
        <v>268</v>
      </c>
      <c r="D1116" s="11" t="s">
        <v>1736</v>
      </c>
      <c r="E1116" s="31" t="s">
        <v>48</v>
      </c>
      <c r="F1116" s="23" t="s">
        <v>49</v>
      </c>
      <c r="G1116" s="427"/>
      <c r="H1116" s="133"/>
      <c r="I1116" s="158" t="s">
        <v>1738</v>
      </c>
      <c r="J1116" s="133"/>
      <c r="K1116" s="132" t="s">
        <v>218</v>
      </c>
      <c r="L1116" s="132" t="s">
        <v>218</v>
      </c>
      <c r="M1116" s="12">
        <v>5834</v>
      </c>
      <c r="N1116" s="133">
        <v>2786</v>
      </c>
      <c r="O1116" s="372">
        <v>419</v>
      </c>
      <c r="P1116" s="327" t="s">
        <v>515</v>
      </c>
      <c r="Q1116" s="133">
        <v>221</v>
      </c>
      <c r="R1116" s="327" t="s">
        <v>515</v>
      </c>
      <c r="S1116" s="133">
        <v>221</v>
      </c>
      <c r="T1116" s="327" t="s">
        <v>515</v>
      </c>
      <c r="U1116" s="133">
        <v>185</v>
      </c>
      <c r="V1116" s="327" t="s">
        <v>515</v>
      </c>
      <c r="W1116" s="133">
        <v>143</v>
      </c>
      <c r="X1116" s="133" t="s">
        <v>515</v>
      </c>
      <c r="Y1116" s="133">
        <v>128</v>
      </c>
      <c r="Z1116" s="327" t="s">
        <v>515</v>
      </c>
      <c r="AA1116" s="133">
        <v>121</v>
      </c>
      <c r="AB1116" s="133" t="s">
        <v>515</v>
      </c>
      <c r="AC1116" s="133">
        <v>117</v>
      </c>
      <c r="AD1116" s="327" t="s">
        <v>515</v>
      </c>
      <c r="AE1116" s="133">
        <v>174</v>
      </c>
      <c r="AF1116" s="133" t="s">
        <v>515</v>
      </c>
      <c r="AG1116" s="133">
        <v>169</v>
      </c>
      <c r="AH1116" s="327" t="s">
        <v>515</v>
      </c>
      <c r="AI1116" s="133">
        <v>324</v>
      </c>
      <c r="AJ1116" s="133" t="s">
        <v>515</v>
      </c>
      <c r="AK1116" s="133">
        <v>308</v>
      </c>
      <c r="AL1116" s="327" t="s">
        <v>515</v>
      </c>
      <c r="AM1116" s="327">
        <f t="shared" si="27"/>
        <v>2530</v>
      </c>
    </row>
    <row r="1117" spans="1:39" ht="18" customHeight="1" x14ac:dyDescent="0.3">
      <c r="A1117" s="424">
        <f t="shared" si="28"/>
        <v>740</v>
      </c>
      <c r="B1117" s="422" t="s">
        <v>1583</v>
      </c>
      <c r="C1117" s="11" t="s">
        <v>268</v>
      </c>
      <c r="D1117" s="11" t="s">
        <v>1736</v>
      </c>
      <c r="E1117" s="31" t="s">
        <v>144</v>
      </c>
      <c r="F1117" s="23" t="s">
        <v>49</v>
      </c>
      <c r="G1117" s="426" t="s">
        <v>1737</v>
      </c>
      <c r="H1117" s="133">
        <v>62</v>
      </c>
      <c r="I1117" s="158" t="s">
        <v>1738</v>
      </c>
      <c r="J1117" s="133">
        <v>0</v>
      </c>
      <c r="K1117" s="132" t="s">
        <v>218</v>
      </c>
      <c r="L1117" s="132" t="s">
        <v>218</v>
      </c>
      <c r="M1117" s="12">
        <v>0</v>
      </c>
      <c r="N1117" s="133">
        <v>0</v>
      </c>
      <c r="O1117" s="372">
        <v>0</v>
      </c>
      <c r="P1117" s="327" t="s">
        <v>515</v>
      </c>
      <c r="Q1117" s="133">
        <v>0</v>
      </c>
      <c r="R1117" s="327" t="s">
        <v>515</v>
      </c>
      <c r="S1117" s="133">
        <v>0</v>
      </c>
      <c r="T1117" s="327" t="s">
        <v>515</v>
      </c>
      <c r="U1117" s="133">
        <v>0</v>
      </c>
      <c r="V1117" s="327" t="s">
        <v>515</v>
      </c>
      <c r="W1117" s="133">
        <v>0</v>
      </c>
      <c r="X1117" s="133" t="s">
        <v>515</v>
      </c>
      <c r="Y1117" s="133">
        <v>0</v>
      </c>
      <c r="Z1117" s="327" t="s">
        <v>515</v>
      </c>
      <c r="AA1117" s="133">
        <v>0</v>
      </c>
      <c r="AB1117" s="133" t="s">
        <v>515</v>
      </c>
      <c r="AC1117" s="133">
        <v>0</v>
      </c>
      <c r="AD1117" s="327" t="s">
        <v>515</v>
      </c>
      <c r="AE1117" s="133">
        <v>0</v>
      </c>
      <c r="AF1117" s="133" t="s">
        <v>515</v>
      </c>
      <c r="AG1117" s="133">
        <v>0</v>
      </c>
      <c r="AH1117" s="327" t="s">
        <v>515</v>
      </c>
      <c r="AI1117" s="133">
        <v>0</v>
      </c>
      <c r="AJ1117" s="133" t="s">
        <v>515</v>
      </c>
      <c r="AK1117" s="133">
        <v>0</v>
      </c>
      <c r="AL1117" s="327" t="s">
        <v>515</v>
      </c>
      <c r="AM1117" s="327">
        <f t="shared" si="27"/>
        <v>0</v>
      </c>
    </row>
    <row r="1118" spans="1:39" ht="18" customHeight="1" x14ac:dyDescent="0.3">
      <c r="A1118" s="425"/>
      <c r="B1118" s="423"/>
      <c r="C1118" s="11" t="s">
        <v>268</v>
      </c>
      <c r="D1118" s="11" t="s">
        <v>1736</v>
      </c>
      <c r="E1118" s="31" t="s">
        <v>48</v>
      </c>
      <c r="F1118" s="23" t="s">
        <v>49</v>
      </c>
      <c r="G1118" s="427"/>
      <c r="H1118" s="133"/>
      <c r="I1118" s="158" t="s">
        <v>1738</v>
      </c>
      <c r="J1118" s="133"/>
      <c r="K1118" s="132" t="s">
        <v>218</v>
      </c>
      <c r="L1118" s="132" t="s">
        <v>218</v>
      </c>
      <c r="M1118" s="12">
        <v>5707</v>
      </c>
      <c r="N1118" s="133">
        <v>4977</v>
      </c>
      <c r="O1118" s="372">
        <v>659</v>
      </c>
      <c r="P1118" s="327" t="s">
        <v>515</v>
      </c>
      <c r="Q1118" s="133">
        <v>605</v>
      </c>
      <c r="R1118" s="327" t="s">
        <v>515</v>
      </c>
      <c r="S1118" s="133">
        <v>605</v>
      </c>
      <c r="T1118" s="327" t="s">
        <v>515</v>
      </c>
      <c r="U1118" s="133">
        <v>367</v>
      </c>
      <c r="V1118" s="327" t="s">
        <v>515</v>
      </c>
      <c r="W1118" s="133">
        <v>874</v>
      </c>
      <c r="X1118" s="133" t="s">
        <v>515</v>
      </c>
      <c r="Y1118" s="133">
        <v>58</v>
      </c>
      <c r="Z1118" s="327" t="s">
        <v>515</v>
      </c>
      <c r="AA1118" s="133">
        <v>87</v>
      </c>
      <c r="AB1118" s="133" t="s">
        <v>515</v>
      </c>
      <c r="AC1118" s="133">
        <v>74</v>
      </c>
      <c r="AD1118" s="327" t="s">
        <v>515</v>
      </c>
      <c r="AE1118" s="133">
        <v>283</v>
      </c>
      <c r="AF1118" s="133" t="s">
        <v>515</v>
      </c>
      <c r="AG1118" s="133">
        <v>415</v>
      </c>
      <c r="AH1118" s="327" t="s">
        <v>515</v>
      </c>
      <c r="AI1118" s="133">
        <v>612</v>
      </c>
      <c r="AJ1118" s="133" t="s">
        <v>515</v>
      </c>
      <c r="AK1118" s="133">
        <v>442</v>
      </c>
      <c r="AL1118" s="327" t="s">
        <v>515</v>
      </c>
      <c r="AM1118" s="327">
        <f t="shared" si="27"/>
        <v>5081</v>
      </c>
    </row>
    <row r="1119" spans="1:39" ht="18" customHeight="1" x14ac:dyDescent="0.3">
      <c r="A1119" s="424">
        <f t="shared" si="28"/>
        <v>741</v>
      </c>
      <c r="B1119" s="422" t="s">
        <v>1584</v>
      </c>
      <c r="C1119" s="11" t="s">
        <v>268</v>
      </c>
      <c r="D1119" s="11" t="s">
        <v>1736</v>
      </c>
      <c r="E1119" s="31" t="s">
        <v>144</v>
      </c>
      <c r="F1119" s="23" t="s">
        <v>49</v>
      </c>
      <c r="G1119" s="428" t="s">
        <v>336</v>
      </c>
      <c r="H1119" s="133">
        <v>695</v>
      </c>
      <c r="I1119" s="158" t="s">
        <v>1738</v>
      </c>
      <c r="J1119" s="133">
        <v>0</v>
      </c>
      <c r="K1119" s="132" t="s">
        <v>218</v>
      </c>
      <c r="L1119" s="132" t="s">
        <v>218</v>
      </c>
      <c r="M1119" s="12">
        <v>51960</v>
      </c>
      <c r="N1119" s="133">
        <v>47230</v>
      </c>
      <c r="O1119" s="372">
        <v>3695</v>
      </c>
      <c r="P1119" s="327" t="s">
        <v>515</v>
      </c>
      <c r="Q1119" s="133">
        <v>4505</v>
      </c>
      <c r="R1119" s="327" t="s">
        <v>515</v>
      </c>
      <c r="S1119" s="133">
        <v>3855</v>
      </c>
      <c r="T1119" s="327" t="s">
        <v>515</v>
      </c>
      <c r="U1119" s="133">
        <v>4870</v>
      </c>
      <c r="V1119" s="327" t="s">
        <v>515</v>
      </c>
      <c r="W1119" s="133">
        <v>3625</v>
      </c>
      <c r="X1119" s="133" t="s">
        <v>515</v>
      </c>
      <c r="Y1119" s="133">
        <v>3765</v>
      </c>
      <c r="Z1119" s="327" t="s">
        <v>515</v>
      </c>
      <c r="AA1119" s="133">
        <v>3955</v>
      </c>
      <c r="AB1119" s="133" t="s">
        <v>515</v>
      </c>
      <c r="AC1119" s="133">
        <v>3510</v>
      </c>
      <c r="AD1119" s="327" t="s">
        <v>515</v>
      </c>
      <c r="AE1119" s="133">
        <v>3945</v>
      </c>
      <c r="AF1119" s="133" t="s">
        <v>515</v>
      </c>
      <c r="AG1119" s="133">
        <v>3255</v>
      </c>
      <c r="AH1119" s="327" t="s">
        <v>515</v>
      </c>
      <c r="AI1119" s="133">
        <v>4690</v>
      </c>
      <c r="AJ1119" s="133" t="s">
        <v>515</v>
      </c>
      <c r="AK1119" s="133">
        <v>3560</v>
      </c>
      <c r="AL1119" s="327" t="s">
        <v>515</v>
      </c>
      <c r="AM1119" s="327">
        <f t="shared" si="27"/>
        <v>47230</v>
      </c>
    </row>
    <row r="1120" spans="1:39" ht="18" customHeight="1" x14ac:dyDescent="0.3">
      <c r="A1120" s="425"/>
      <c r="B1120" s="423"/>
      <c r="C1120" s="11" t="s">
        <v>268</v>
      </c>
      <c r="D1120" s="11" t="s">
        <v>1736</v>
      </c>
      <c r="E1120" s="31" t="s">
        <v>48</v>
      </c>
      <c r="F1120" s="23" t="s">
        <v>49</v>
      </c>
      <c r="G1120" s="429"/>
      <c r="H1120" s="133"/>
      <c r="I1120" s="158" t="s">
        <v>1738</v>
      </c>
      <c r="J1120" s="133"/>
      <c r="K1120" s="132" t="s">
        <v>218</v>
      </c>
      <c r="L1120" s="132" t="s">
        <v>218</v>
      </c>
      <c r="M1120" s="12">
        <v>108865</v>
      </c>
      <c r="N1120" s="133">
        <v>115273</v>
      </c>
      <c r="O1120" s="372">
        <v>11094</v>
      </c>
      <c r="P1120" s="327" t="s">
        <v>515</v>
      </c>
      <c r="Q1120" s="133">
        <v>8639</v>
      </c>
      <c r="R1120" s="327" t="s">
        <v>515</v>
      </c>
      <c r="S1120" s="133">
        <v>9289</v>
      </c>
      <c r="T1120" s="327" t="s">
        <v>515</v>
      </c>
      <c r="U1120" s="133">
        <v>6360</v>
      </c>
      <c r="V1120" s="327" t="s">
        <v>515</v>
      </c>
      <c r="W1120" s="133">
        <v>7100</v>
      </c>
      <c r="X1120" s="133" t="s">
        <v>515</v>
      </c>
      <c r="Y1120" s="133">
        <v>7642</v>
      </c>
      <c r="Z1120" s="327" t="s">
        <v>515</v>
      </c>
      <c r="AA1120" s="133">
        <v>8858</v>
      </c>
      <c r="AB1120" s="133" t="s">
        <v>515</v>
      </c>
      <c r="AC1120" s="133">
        <v>8819</v>
      </c>
      <c r="AD1120" s="327" t="s">
        <v>515</v>
      </c>
      <c r="AE1120" s="133">
        <v>9042</v>
      </c>
      <c r="AF1120" s="133" t="s">
        <v>515</v>
      </c>
      <c r="AG1120" s="133">
        <v>7580</v>
      </c>
      <c r="AH1120" s="327" t="s">
        <v>515</v>
      </c>
      <c r="AI1120" s="133">
        <v>12155</v>
      </c>
      <c r="AJ1120" s="133" t="s">
        <v>515</v>
      </c>
      <c r="AK1120" s="133">
        <v>9481</v>
      </c>
      <c r="AL1120" s="327" t="s">
        <v>515</v>
      </c>
      <c r="AM1120" s="327">
        <f t="shared" si="27"/>
        <v>106059</v>
      </c>
    </row>
    <row r="1121" spans="1:39" ht="18" customHeight="1" x14ac:dyDescent="0.3">
      <c r="A1121" s="424">
        <f t="shared" si="28"/>
        <v>742</v>
      </c>
      <c r="B1121" s="422" t="s">
        <v>1585</v>
      </c>
      <c r="C1121" s="11" t="s">
        <v>268</v>
      </c>
      <c r="D1121" s="11" t="s">
        <v>1736</v>
      </c>
      <c r="E1121" s="31" t="s">
        <v>144</v>
      </c>
      <c r="F1121" s="23" t="s">
        <v>49</v>
      </c>
      <c r="G1121" s="426" t="s">
        <v>1737</v>
      </c>
      <c r="H1121" s="133">
        <v>323</v>
      </c>
      <c r="I1121" s="158" t="s">
        <v>1738</v>
      </c>
      <c r="J1121" s="133">
        <v>13</v>
      </c>
      <c r="K1121" s="132" t="s">
        <v>218</v>
      </c>
      <c r="L1121" s="132" t="s">
        <v>218</v>
      </c>
      <c r="M1121" s="12">
        <v>30848</v>
      </c>
      <c r="N1121" s="133">
        <v>27179</v>
      </c>
      <c r="O1121" s="372">
        <v>2996</v>
      </c>
      <c r="P1121" s="327" t="s">
        <v>515</v>
      </c>
      <c r="Q1121" s="133">
        <v>2615</v>
      </c>
      <c r="R1121" s="327" t="s">
        <v>515</v>
      </c>
      <c r="S1121" s="133">
        <v>2182</v>
      </c>
      <c r="T1121" s="327" t="s">
        <v>515</v>
      </c>
      <c r="U1121" s="133">
        <v>1898</v>
      </c>
      <c r="V1121" s="327" t="s">
        <v>515</v>
      </c>
      <c r="W1121" s="133">
        <v>2106</v>
      </c>
      <c r="X1121" s="133" t="s">
        <v>515</v>
      </c>
      <c r="Y1121" s="133">
        <v>1337</v>
      </c>
      <c r="Z1121" s="327" t="s">
        <v>515</v>
      </c>
      <c r="AA1121" s="133">
        <v>1695</v>
      </c>
      <c r="AB1121" s="133" t="s">
        <v>515</v>
      </c>
      <c r="AC1121" s="133">
        <v>1439</v>
      </c>
      <c r="AD1121" s="327" t="s">
        <v>515</v>
      </c>
      <c r="AE1121" s="133">
        <v>2273</v>
      </c>
      <c r="AF1121" s="133" t="s">
        <v>515</v>
      </c>
      <c r="AG1121" s="133">
        <v>2440</v>
      </c>
      <c r="AH1121" s="327" t="s">
        <v>515</v>
      </c>
      <c r="AI1121" s="133">
        <v>3122</v>
      </c>
      <c r="AJ1121" s="133" t="s">
        <v>515</v>
      </c>
      <c r="AK1121" s="133">
        <v>3076</v>
      </c>
      <c r="AL1121" s="327" t="s">
        <v>515</v>
      </c>
      <c r="AM1121" s="327">
        <f t="shared" si="27"/>
        <v>27179</v>
      </c>
    </row>
    <row r="1122" spans="1:39" ht="18" customHeight="1" x14ac:dyDescent="0.3">
      <c r="A1122" s="425"/>
      <c r="B1122" s="423"/>
      <c r="C1122" s="11" t="s">
        <v>268</v>
      </c>
      <c r="D1122" s="11" t="s">
        <v>1736</v>
      </c>
      <c r="E1122" s="31" t="s">
        <v>48</v>
      </c>
      <c r="F1122" s="23" t="s">
        <v>49</v>
      </c>
      <c r="G1122" s="427"/>
      <c r="H1122" s="133"/>
      <c r="I1122" s="158" t="s">
        <v>1738</v>
      </c>
      <c r="J1122" s="133"/>
      <c r="K1122" s="132" t="s">
        <v>218</v>
      </c>
      <c r="L1122" s="132" t="s">
        <v>218</v>
      </c>
      <c r="M1122" s="12">
        <v>40381</v>
      </c>
      <c r="N1122" s="133">
        <v>33761</v>
      </c>
      <c r="O1122" s="372">
        <v>3694</v>
      </c>
      <c r="P1122" s="327" t="s">
        <v>515</v>
      </c>
      <c r="Q1122" s="133">
        <v>3813</v>
      </c>
      <c r="R1122" s="327" t="s">
        <v>515</v>
      </c>
      <c r="S1122" s="133">
        <v>4246</v>
      </c>
      <c r="T1122" s="327" t="s">
        <v>515</v>
      </c>
      <c r="U1122" s="133">
        <v>2457</v>
      </c>
      <c r="V1122" s="327" t="s">
        <v>515</v>
      </c>
      <c r="W1122" s="133">
        <v>3139</v>
      </c>
      <c r="X1122" s="133" t="s">
        <v>515</v>
      </c>
      <c r="Y1122" s="133">
        <v>1905</v>
      </c>
      <c r="Z1122" s="327" t="s">
        <v>515</v>
      </c>
      <c r="AA1122" s="133">
        <v>2300</v>
      </c>
      <c r="AB1122" s="133" t="s">
        <v>515</v>
      </c>
      <c r="AC1122" s="133">
        <v>1808</v>
      </c>
      <c r="AD1122" s="327" t="s">
        <v>515</v>
      </c>
      <c r="AE1122" s="133">
        <v>2417</v>
      </c>
      <c r="AF1122" s="133" t="s">
        <v>515</v>
      </c>
      <c r="AG1122" s="133">
        <v>2287</v>
      </c>
      <c r="AH1122" s="327" t="s">
        <v>515</v>
      </c>
      <c r="AI1122" s="133">
        <v>2917</v>
      </c>
      <c r="AJ1122" s="133" t="s">
        <v>515</v>
      </c>
      <c r="AK1122" s="133">
        <v>2805</v>
      </c>
      <c r="AL1122" s="327" t="s">
        <v>515</v>
      </c>
      <c r="AM1122" s="327">
        <f t="shared" si="27"/>
        <v>33788</v>
      </c>
    </row>
    <row r="1123" spans="1:39" ht="18" customHeight="1" x14ac:dyDescent="0.3">
      <c r="A1123" s="424">
        <f t="shared" si="28"/>
        <v>743</v>
      </c>
      <c r="B1123" s="422" t="s">
        <v>1586</v>
      </c>
      <c r="C1123" s="11" t="s">
        <v>268</v>
      </c>
      <c r="D1123" s="11" t="s">
        <v>1736</v>
      </c>
      <c r="E1123" s="31" t="s">
        <v>144</v>
      </c>
      <c r="F1123" s="23" t="s">
        <v>49</v>
      </c>
      <c r="G1123" s="426" t="s">
        <v>1737</v>
      </c>
      <c r="H1123" s="133">
        <v>233</v>
      </c>
      <c r="I1123" s="158" t="s">
        <v>1738</v>
      </c>
      <c r="J1123" s="133">
        <v>8</v>
      </c>
      <c r="K1123" s="132" t="s">
        <v>218</v>
      </c>
      <c r="L1123" s="132" t="s">
        <v>218</v>
      </c>
      <c r="M1123" s="12">
        <v>18320</v>
      </c>
      <c r="N1123" s="133">
        <v>20230</v>
      </c>
      <c r="O1123" s="372">
        <v>1930</v>
      </c>
      <c r="P1123" s="327" t="s">
        <v>515</v>
      </c>
      <c r="Q1123" s="133">
        <v>2080</v>
      </c>
      <c r="R1123" s="327" t="s">
        <v>515</v>
      </c>
      <c r="S1123" s="133">
        <v>1630</v>
      </c>
      <c r="T1123" s="327" t="s">
        <v>515</v>
      </c>
      <c r="U1123" s="133">
        <v>1650</v>
      </c>
      <c r="V1123" s="327" t="s">
        <v>515</v>
      </c>
      <c r="W1123" s="133">
        <v>2080</v>
      </c>
      <c r="X1123" s="133" t="s">
        <v>515</v>
      </c>
      <c r="Y1123" s="133">
        <v>1500</v>
      </c>
      <c r="Z1123" s="327" t="s">
        <v>515</v>
      </c>
      <c r="AA1123" s="133">
        <v>1650</v>
      </c>
      <c r="AB1123" s="133" t="s">
        <v>515</v>
      </c>
      <c r="AC1123" s="133">
        <v>1380</v>
      </c>
      <c r="AD1123" s="327" t="s">
        <v>515</v>
      </c>
      <c r="AE1123" s="133">
        <v>1600</v>
      </c>
      <c r="AF1123" s="133" t="s">
        <v>515</v>
      </c>
      <c r="AG1123" s="133">
        <v>1420</v>
      </c>
      <c r="AH1123" s="327" t="s">
        <v>515</v>
      </c>
      <c r="AI1123" s="133">
        <v>1700</v>
      </c>
      <c r="AJ1123" s="133" t="s">
        <v>515</v>
      </c>
      <c r="AK1123" s="133">
        <v>1610</v>
      </c>
      <c r="AL1123" s="327" t="s">
        <v>515</v>
      </c>
      <c r="AM1123" s="327">
        <f t="shared" si="27"/>
        <v>20230</v>
      </c>
    </row>
    <row r="1124" spans="1:39" ht="18" customHeight="1" x14ac:dyDescent="0.3">
      <c r="A1124" s="425"/>
      <c r="B1124" s="423"/>
      <c r="C1124" s="11" t="s">
        <v>268</v>
      </c>
      <c r="D1124" s="11" t="s">
        <v>1736</v>
      </c>
      <c r="E1124" s="31" t="s">
        <v>48</v>
      </c>
      <c r="F1124" s="23" t="s">
        <v>49</v>
      </c>
      <c r="G1124" s="427"/>
      <c r="H1124" s="133"/>
      <c r="I1124" s="158" t="s">
        <v>1738</v>
      </c>
      <c r="J1124" s="133"/>
      <c r="K1124" s="132" t="s">
        <v>218</v>
      </c>
      <c r="L1124" s="132" t="s">
        <v>218</v>
      </c>
      <c r="M1124" s="12">
        <v>19676</v>
      </c>
      <c r="N1124" s="133">
        <v>16980</v>
      </c>
      <c r="O1124" s="372">
        <v>2104</v>
      </c>
      <c r="P1124" s="327" t="s">
        <v>515</v>
      </c>
      <c r="Q1124" s="133">
        <v>2108</v>
      </c>
      <c r="R1124" s="327" t="s">
        <v>515</v>
      </c>
      <c r="S1124" s="133">
        <v>2558</v>
      </c>
      <c r="T1124" s="327" t="s">
        <v>515</v>
      </c>
      <c r="U1124" s="133">
        <v>1420</v>
      </c>
      <c r="V1124" s="327" t="s">
        <v>515</v>
      </c>
      <c r="W1124" s="133">
        <v>1175</v>
      </c>
      <c r="X1124" s="133" t="s">
        <v>515</v>
      </c>
      <c r="Y1124" s="133">
        <v>970</v>
      </c>
      <c r="Z1124" s="327" t="s">
        <v>515</v>
      </c>
      <c r="AA1124" s="133">
        <v>929</v>
      </c>
      <c r="AB1124" s="133" t="s">
        <v>515</v>
      </c>
      <c r="AC1124" s="133">
        <v>1090</v>
      </c>
      <c r="AD1124" s="327" t="s">
        <v>515</v>
      </c>
      <c r="AE1124" s="133">
        <v>1293</v>
      </c>
      <c r="AF1124" s="133" t="s">
        <v>515</v>
      </c>
      <c r="AG1124" s="133">
        <v>1435</v>
      </c>
      <c r="AH1124" s="327" t="s">
        <v>515</v>
      </c>
      <c r="AI1124" s="133">
        <v>1783</v>
      </c>
      <c r="AJ1124" s="133" t="s">
        <v>515</v>
      </c>
      <c r="AK1124" s="133">
        <v>2034</v>
      </c>
      <c r="AL1124" s="327" t="s">
        <v>515</v>
      </c>
      <c r="AM1124" s="327">
        <f t="shared" si="27"/>
        <v>18899</v>
      </c>
    </row>
    <row r="1125" spans="1:39" ht="18" customHeight="1" x14ac:dyDescent="0.3">
      <c r="A1125" s="424">
        <f t="shared" si="28"/>
        <v>744</v>
      </c>
      <c r="B1125" s="422" t="s">
        <v>1587</v>
      </c>
      <c r="C1125" s="11" t="s">
        <v>268</v>
      </c>
      <c r="D1125" s="11" t="s">
        <v>1736</v>
      </c>
      <c r="E1125" s="31" t="s">
        <v>144</v>
      </c>
      <c r="F1125" s="23" t="s">
        <v>49</v>
      </c>
      <c r="G1125" s="426" t="s">
        <v>1737</v>
      </c>
      <c r="H1125" s="133">
        <v>271</v>
      </c>
      <c r="I1125" s="158" t="s">
        <v>1738</v>
      </c>
      <c r="J1125" s="133">
        <v>11</v>
      </c>
      <c r="K1125" s="132" t="s">
        <v>218</v>
      </c>
      <c r="L1125" s="132" t="s">
        <v>218</v>
      </c>
      <c r="M1125" s="12">
        <v>28125</v>
      </c>
      <c r="N1125" s="133">
        <v>26072</v>
      </c>
      <c r="O1125" s="372">
        <v>2461</v>
      </c>
      <c r="P1125" s="327" t="s">
        <v>515</v>
      </c>
      <c r="Q1125" s="133">
        <v>2605</v>
      </c>
      <c r="R1125" s="327" t="s">
        <v>515</v>
      </c>
      <c r="S1125" s="133">
        <v>2317</v>
      </c>
      <c r="T1125" s="327" t="s">
        <v>515</v>
      </c>
      <c r="U1125" s="133">
        <v>2869</v>
      </c>
      <c r="V1125" s="327" t="s">
        <v>515</v>
      </c>
      <c r="W1125" s="133">
        <v>2281</v>
      </c>
      <c r="X1125" s="133" t="s">
        <v>515</v>
      </c>
      <c r="Y1125" s="133">
        <v>2315</v>
      </c>
      <c r="Z1125" s="327" t="s">
        <v>515</v>
      </c>
      <c r="AA1125" s="133">
        <v>2464</v>
      </c>
      <c r="AB1125" s="133" t="s">
        <v>515</v>
      </c>
      <c r="AC1125" s="133">
        <v>1780</v>
      </c>
      <c r="AD1125" s="327" t="s">
        <v>515</v>
      </c>
      <c r="AE1125" s="133">
        <v>2276</v>
      </c>
      <c r="AF1125" s="133" t="s">
        <v>515</v>
      </c>
      <c r="AG1125" s="133">
        <v>2514</v>
      </c>
      <c r="AH1125" s="327" t="s">
        <v>515</v>
      </c>
      <c r="AI1125" s="133">
        <v>0</v>
      </c>
      <c r="AJ1125" s="133" t="s">
        <v>515</v>
      </c>
      <c r="AK1125" s="133">
        <v>2190</v>
      </c>
      <c r="AL1125" s="327" t="s">
        <v>515</v>
      </c>
      <c r="AM1125" s="327">
        <f t="shared" si="27"/>
        <v>26072</v>
      </c>
    </row>
    <row r="1126" spans="1:39" ht="18" customHeight="1" x14ac:dyDescent="0.3">
      <c r="A1126" s="425"/>
      <c r="B1126" s="423"/>
      <c r="C1126" s="11" t="s">
        <v>268</v>
      </c>
      <c r="D1126" s="11" t="s">
        <v>1736</v>
      </c>
      <c r="E1126" s="31" t="s">
        <v>48</v>
      </c>
      <c r="F1126" s="23" t="s">
        <v>49</v>
      </c>
      <c r="G1126" s="427"/>
      <c r="H1126" s="133"/>
      <c r="I1126" s="158" t="s">
        <v>1738</v>
      </c>
      <c r="J1126" s="133"/>
      <c r="K1126" s="132" t="s">
        <v>218</v>
      </c>
      <c r="L1126" s="132" t="s">
        <v>218</v>
      </c>
      <c r="M1126" s="12">
        <v>98418</v>
      </c>
      <c r="N1126" s="133">
        <v>85511</v>
      </c>
      <c r="O1126" s="372">
        <v>9491</v>
      </c>
      <c r="P1126" s="327" t="s">
        <v>515</v>
      </c>
      <c r="Q1126" s="133">
        <v>2842</v>
      </c>
      <c r="R1126" s="327" t="s">
        <v>515</v>
      </c>
      <c r="S1126" s="133">
        <v>3130</v>
      </c>
      <c r="T1126" s="327" t="s">
        <v>515</v>
      </c>
      <c r="U1126" s="133">
        <v>991</v>
      </c>
      <c r="V1126" s="327" t="s">
        <v>515</v>
      </c>
      <c r="W1126" s="133">
        <v>4896</v>
      </c>
      <c r="X1126" s="133" t="s">
        <v>515</v>
      </c>
      <c r="Y1126" s="133">
        <v>5581</v>
      </c>
      <c r="Z1126" s="327" t="s">
        <v>515</v>
      </c>
      <c r="AA1126" s="133">
        <v>6658</v>
      </c>
      <c r="AB1126" s="133" t="s">
        <v>515</v>
      </c>
      <c r="AC1126" s="133">
        <v>8108</v>
      </c>
      <c r="AD1126" s="327" t="s">
        <v>515</v>
      </c>
      <c r="AE1126" s="133">
        <v>7879</v>
      </c>
      <c r="AF1126" s="133" t="s">
        <v>515</v>
      </c>
      <c r="AG1126" s="133">
        <v>9055</v>
      </c>
      <c r="AH1126" s="327" t="s">
        <v>515</v>
      </c>
      <c r="AI1126" s="133">
        <v>0</v>
      </c>
      <c r="AJ1126" s="133" t="s">
        <v>515</v>
      </c>
      <c r="AK1126" s="133">
        <v>8348</v>
      </c>
      <c r="AL1126" s="327" t="s">
        <v>515</v>
      </c>
      <c r="AM1126" s="327">
        <f t="shared" ref="AM1126:AM1188" si="29">SUM(O1126+Q1126+S1126+U1126+W1126+Y1126+AA1126+AC1126+AE1126+AG1126+AI1126+AK1126)</f>
        <v>66979</v>
      </c>
    </row>
    <row r="1127" spans="1:39" ht="18" customHeight="1" x14ac:dyDescent="0.3">
      <c r="A1127" s="424">
        <f t="shared" si="28"/>
        <v>745</v>
      </c>
      <c r="B1127" s="422" t="s">
        <v>1588</v>
      </c>
      <c r="C1127" s="11" t="s">
        <v>268</v>
      </c>
      <c r="D1127" s="12" t="s">
        <v>247</v>
      </c>
      <c r="E1127" s="31" t="s">
        <v>144</v>
      </c>
      <c r="F1127" s="23" t="s">
        <v>49</v>
      </c>
      <c r="G1127" s="426" t="s">
        <v>1737</v>
      </c>
      <c r="H1127" s="133">
        <v>82</v>
      </c>
      <c r="I1127" s="158" t="s">
        <v>1738</v>
      </c>
      <c r="J1127" s="133">
        <v>9</v>
      </c>
      <c r="K1127" s="132" t="s">
        <v>218</v>
      </c>
      <c r="L1127" s="132" t="s">
        <v>218</v>
      </c>
      <c r="M1127" s="12">
        <v>0</v>
      </c>
      <c r="N1127" s="133">
        <v>0</v>
      </c>
      <c r="O1127" s="372">
        <v>0</v>
      </c>
      <c r="P1127" s="327" t="s">
        <v>515</v>
      </c>
      <c r="Q1127" s="133">
        <v>0</v>
      </c>
      <c r="R1127" s="327" t="s">
        <v>515</v>
      </c>
      <c r="S1127" s="133">
        <v>0</v>
      </c>
      <c r="T1127" s="327" t="s">
        <v>515</v>
      </c>
      <c r="U1127" s="133">
        <v>0</v>
      </c>
      <c r="V1127" s="327" t="s">
        <v>515</v>
      </c>
      <c r="W1127" s="133">
        <v>0</v>
      </c>
      <c r="X1127" s="133" t="s">
        <v>515</v>
      </c>
      <c r="Y1127" s="133">
        <v>0</v>
      </c>
      <c r="Z1127" s="327" t="s">
        <v>515</v>
      </c>
      <c r="AA1127" s="133">
        <v>0</v>
      </c>
      <c r="AB1127" s="133" t="s">
        <v>515</v>
      </c>
      <c r="AC1127" s="133">
        <v>0</v>
      </c>
      <c r="AD1127" s="327" t="s">
        <v>515</v>
      </c>
      <c r="AE1127" s="133">
        <v>0</v>
      </c>
      <c r="AF1127" s="133" t="s">
        <v>515</v>
      </c>
      <c r="AG1127" s="133">
        <v>0</v>
      </c>
      <c r="AH1127" s="327" t="s">
        <v>515</v>
      </c>
      <c r="AI1127" s="133">
        <v>0</v>
      </c>
      <c r="AJ1127" s="133" t="s">
        <v>515</v>
      </c>
      <c r="AK1127" s="133">
        <v>0</v>
      </c>
      <c r="AL1127" s="327" t="s">
        <v>515</v>
      </c>
      <c r="AM1127" s="327">
        <f t="shared" si="29"/>
        <v>0</v>
      </c>
    </row>
    <row r="1128" spans="1:39" ht="18" customHeight="1" x14ac:dyDescent="0.3">
      <c r="A1128" s="425"/>
      <c r="B1128" s="423"/>
      <c r="C1128" s="11" t="s">
        <v>268</v>
      </c>
      <c r="D1128" s="12" t="s">
        <v>247</v>
      </c>
      <c r="E1128" s="31" t="s">
        <v>48</v>
      </c>
      <c r="F1128" s="23" t="s">
        <v>49</v>
      </c>
      <c r="G1128" s="427"/>
      <c r="H1128" s="133"/>
      <c r="I1128" s="158" t="s">
        <v>1738</v>
      </c>
      <c r="J1128" s="133"/>
      <c r="K1128" s="132" t="s">
        <v>218</v>
      </c>
      <c r="L1128" s="132" t="s">
        <v>218</v>
      </c>
      <c r="M1128" s="12">
        <v>12367</v>
      </c>
      <c r="N1128" s="133">
        <v>10544</v>
      </c>
      <c r="O1128" s="372">
        <v>1447</v>
      </c>
      <c r="P1128" s="327" t="s">
        <v>515</v>
      </c>
      <c r="Q1128" s="133">
        <v>1503</v>
      </c>
      <c r="R1128" s="327" t="s">
        <v>515</v>
      </c>
      <c r="S1128" s="133">
        <v>1303</v>
      </c>
      <c r="T1128" s="327" t="s">
        <v>515</v>
      </c>
      <c r="U1128" s="133">
        <v>956</v>
      </c>
      <c r="V1128" s="327" t="s">
        <v>515</v>
      </c>
      <c r="W1128" s="133">
        <v>749</v>
      </c>
      <c r="X1128" s="133" t="s">
        <v>515</v>
      </c>
      <c r="Y1128" s="133">
        <v>0</v>
      </c>
      <c r="Z1128" s="327" t="s">
        <v>515</v>
      </c>
      <c r="AA1128" s="133">
        <v>448</v>
      </c>
      <c r="AB1128" s="133" t="s">
        <v>515</v>
      </c>
      <c r="AC1128" s="133">
        <v>685</v>
      </c>
      <c r="AD1128" s="327" t="s">
        <v>515</v>
      </c>
      <c r="AE1128" s="133">
        <v>957</v>
      </c>
      <c r="AF1128" s="133" t="s">
        <v>515</v>
      </c>
      <c r="AG1128" s="133">
        <v>872</v>
      </c>
      <c r="AH1128" s="327" t="s">
        <v>515</v>
      </c>
      <c r="AI1128" s="133">
        <v>1042</v>
      </c>
      <c r="AJ1128" s="133" t="s">
        <v>515</v>
      </c>
      <c r="AK1128" s="133">
        <v>1157</v>
      </c>
      <c r="AL1128" s="327" t="s">
        <v>515</v>
      </c>
      <c r="AM1128" s="327">
        <f t="shared" si="29"/>
        <v>11119</v>
      </c>
    </row>
    <row r="1129" spans="1:39" ht="18" customHeight="1" x14ac:dyDescent="0.3">
      <c r="A1129" s="424">
        <f t="shared" si="28"/>
        <v>746</v>
      </c>
      <c r="B1129" s="422" t="s">
        <v>1589</v>
      </c>
      <c r="C1129" s="11" t="s">
        <v>268</v>
      </c>
      <c r="D1129" s="12" t="s">
        <v>247</v>
      </c>
      <c r="E1129" s="31" t="s">
        <v>144</v>
      </c>
      <c r="F1129" s="23" t="s">
        <v>49</v>
      </c>
      <c r="G1129" s="426" t="s">
        <v>1737</v>
      </c>
      <c r="H1129" s="133">
        <v>85</v>
      </c>
      <c r="I1129" s="158" t="s">
        <v>1738</v>
      </c>
      <c r="J1129" s="133">
        <v>9</v>
      </c>
      <c r="K1129" s="132" t="s">
        <v>218</v>
      </c>
      <c r="L1129" s="132" t="s">
        <v>218</v>
      </c>
      <c r="M1129" s="12">
        <v>21309</v>
      </c>
      <c r="N1129" s="133">
        <v>15006</v>
      </c>
      <c r="O1129" s="372">
        <v>430</v>
      </c>
      <c r="P1129" s="327" t="s">
        <v>515</v>
      </c>
      <c r="Q1129" s="133">
        <v>700</v>
      </c>
      <c r="R1129" s="327" t="s">
        <v>515</v>
      </c>
      <c r="S1129" s="133">
        <v>1960</v>
      </c>
      <c r="T1129" s="327" t="s">
        <v>515</v>
      </c>
      <c r="U1129" s="133">
        <v>1760</v>
      </c>
      <c r="V1129" s="327" t="s">
        <v>515</v>
      </c>
      <c r="W1129" s="133">
        <v>1430</v>
      </c>
      <c r="X1129" s="133" t="s">
        <v>515</v>
      </c>
      <c r="Y1129" s="133">
        <v>1480</v>
      </c>
      <c r="Z1129" s="327" t="s">
        <v>515</v>
      </c>
      <c r="AA1129" s="133">
        <v>1570</v>
      </c>
      <c r="AB1129" s="133" t="s">
        <v>515</v>
      </c>
      <c r="AC1129" s="133">
        <v>1620</v>
      </c>
      <c r="AD1129" s="327" t="s">
        <v>515</v>
      </c>
      <c r="AE1129" s="133">
        <v>0</v>
      </c>
      <c r="AF1129" s="133" t="s">
        <v>515</v>
      </c>
      <c r="AG1129" s="133">
        <v>1146</v>
      </c>
      <c r="AH1129" s="327" t="s">
        <v>515</v>
      </c>
      <c r="AI1129" s="133">
        <v>1560</v>
      </c>
      <c r="AJ1129" s="133" t="s">
        <v>515</v>
      </c>
      <c r="AK1129" s="133">
        <v>1350</v>
      </c>
      <c r="AL1129" s="327" t="s">
        <v>515</v>
      </c>
      <c r="AM1129" s="327">
        <f t="shared" si="29"/>
        <v>15006</v>
      </c>
    </row>
    <row r="1130" spans="1:39" ht="18" customHeight="1" x14ac:dyDescent="0.3">
      <c r="A1130" s="425"/>
      <c r="B1130" s="423"/>
      <c r="C1130" s="11" t="s">
        <v>268</v>
      </c>
      <c r="D1130" s="12" t="s">
        <v>247</v>
      </c>
      <c r="E1130" s="31" t="s">
        <v>48</v>
      </c>
      <c r="F1130" s="23" t="s">
        <v>49</v>
      </c>
      <c r="G1130" s="427"/>
      <c r="H1130" s="133"/>
      <c r="I1130" s="158" t="s">
        <v>1738</v>
      </c>
      <c r="J1130" s="133"/>
      <c r="K1130" s="132" t="s">
        <v>218</v>
      </c>
      <c r="L1130" s="132" t="s">
        <v>218</v>
      </c>
      <c r="M1130" s="12">
        <v>24760</v>
      </c>
      <c r="N1130" s="133">
        <v>30204</v>
      </c>
      <c r="O1130" s="372">
        <v>3544</v>
      </c>
      <c r="P1130" s="327" t="s">
        <v>515</v>
      </c>
      <c r="Q1130" s="133">
        <v>4043</v>
      </c>
      <c r="R1130" s="327" t="s">
        <v>515</v>
      </c>
      <c r="S1130" s="133">
        <v>2783</v>
      </c>
      <c r="T1130" s="327" t="s">
        <v>515</v>
      </c>
      <c r="U1130" s="133">
        <v>1304</v>
      </c>
      <c r="V1130" s="327" t="s">
        <v>515</v>
      </c>
      <c r="W1130" s="133">
        <v>1631</v>
      </c>
      <c r="X1130" s="133" t="s">
        <v>515</v>
      </c>
      <c r="Y1130" s="133">
        <v>990</v>
      </c>
      <c r="Z1130" s="327" t="s">
        <v>515</v>
      </c>
      <c r="AA1130" s="133">
        <v>775</v>
      </c>
      <c r="AB1130" s="133" t="s">
        <v>515</v>
      </c>
      <c r="AC1130" s="133">
        <v>1359</v>
      </c>
      <c r="AD1130" s="327" t="s">
        <v>515</v>
      </c>
      <c r="AE1130" s="133">
        <v>3175</v>
      </c>
      <c r="AF1130" s="133" t="s">
        <v>515</v>
      </c>
      <c r="AG1130" s="133">
        <v>2611</v>
      </c>
      <c r="AH1130" s="327" t="s">
        <v>515</v>
      </c>
      <c r="AI1130" s="133">
        <v>3208</v>
      </c>
      <c r="AJ1130" s="133" t="s">
        <v>515</v>
      </c>
      <c r="AK1130" s="133">
        <v>3152</v>
      </c>
      <c r="AL1130" s="327" t="s">
        <v>515</v>
      </c>
      <c r="AM1130" s="327">
        <f t="shared" si="29"/>
        <v>28575</v>
      </c>
    </row>
    <row r="1131" spans="1:39" ht="18" customHeight="1" x14ac:dyDescent="0.3">
      <c r="A1131" s="424">
        <f t="shared" si="28"/>
        <v>747</v>
      </c>
      <c r="B1131" s="422" t="s">
        <v>1590</v>
      </c>
      <c r="C1131" s="11" t="s">
        <v>268</v>
      </c>
      <c r="D1131" s="12" t="s">
        <v>247</v>
      </c>
      <c r="E1131" s="31" t="s">
        <v>144</v>
      </c>
      <c r="F1131" s="23" t="s">
        <v>49</v>
      </c>
      <c r="G1131" s="426" t="s">
        <v>1737</v>
      </c>
      <c r="H1131" s="133">
        <v>85</v>
      </c>
      <c r="I1131" s="158" t="s">
        <v>1738</v>
      </c>
      <c r="J1131" s="133">
        <v>9</v>
      </c>
      <c r="K1131" s="132" t="s">
        <v>218</v>
      </c>
      <c r="L1131" s="132" t="s">
        <v>218</v>
      </c>
      <c r="M1131" s="12">
        <v>0</v>
      </c>
      <c r="N1131" s="133">
        <v>0</v>
      </c>
      <c r="O1131" s="372">
        <v>0</v>
      </c>
      <c r="P1131" s="327" t="s">
        <v>515</v>
      </c>
      <c r="Q1131" s="133">
        <v>0</v>
      </c>
      <c r="R1131" s="327" t="s">
        <v>515</v>
      </c>
      <c r="S1131" s="133">
        <v>0</v>
      </c>
      <c r="T1131" s="327" t="s">
        <v>515</v>
      </c>
      <c r="U1131" s="133">
        <v>0</v>
      </c>
      <c r="V1131" s="327" t="s">
        <v>515</v>
      </c>
      <c r="W1131" s="133">
        <v>0</v>
      </c>
      <c r="X1131" s="133" t="s">
        <v>515</v>
      </c>
      <c r="Y1131" s="133">
        <v>0</v>
      </c>
      <c r="Z1131" s="327" t="s">
        <v>515</v>
      </c>
      <c r="AA1131" s="133">
        <v>0</v>
      </c>
      <c r="AB1131" s="133" t="s">
        <v>515</v>
      </c>
      <c r="AC1131" s="133">
        <v>0</v>
      </c>
      <c r="AD1131" s="327" t="s">
        <v>515</v>
      </c>
      <c r="AE1131" s="133">
        <v>0</v>
      </c>
      <c r="AF1131" s="133" t="s">
        <v>515</v>
      </c>
      <c r="AG1131" s="133">
        <v>0</v>
      </c>
      <c r="AH1131" s="327" t="s">
        <v>515</v>
      </c>
      <c r="AI1131" s="133">
        <v>0</v>
      </c>
      <c r="AJ1131" s="133" t="s">
        <v>515</v>
      </c>
      <c r="AK1131" s="133">
        <v>0</v>
      </c>
      <c r="AL1131" s="327" t="s">
        <v>515</v>
      </c>
      <c r="AM1131" s="327">
        <f t="shared" si="29"/>
        <v>0</v>
      </c>
    </row>
    <row r="1132" spans="1:39" ht="18" customHeight="1" x14ac:dyDescent="0.3">
      <c r="A1132" s="425"/>
      <c r="B1132" s="423"/>
      <c r="C1132" s="11" t="s">
        <v>268</v>
      </c>
      <c r="D1132" s="12" t="s">
        <v>247</v>
      </c>
      <c r="E1132" s="31" t="s">
        <v>48</v>
      </c>
      <c r="F1132" s="23" t="s">
        <v>49</v>
      </c>
      <c r="G1132" s="427"/>
      <c r="H1132" s="133"/>
      <c r="I1132" s="158" t="s">
        <v>1738</v>
      </c>
      <c r="J1132" s="133"/>
      <c r="K1132" s="132" t="s">
        <v>218</v>
      </c>
      <c r="L1132" s="132" t="s">
        <v>218</v>
      </c>
      <c r="M1132" s="12">
        <v>22177</v>
      </c>
      <c r="N1132" s="133">
        <v>21776</v>
      </c>
      <c r="O1132" s="372">
        <v>2736</v>
      </c>
      <c r="P1132" s="327" t="s">
        <v>515</v>
      </c>
      <c r="Q1132" s="133">
        <v>2859</v>
      </c>
      <c r="R1132" s="327" t="s">
        <v>515</v>
      </c>
      <c r="S1132" s="133">
        <v>1532</v>
      </c>
      <c r="T1132" s="327" t="s">
        <v>515</v>
      </c>
      <c r="U1132" s="133">
        <v>1188</v>
      </c>
      <c r="V1132" s="327" t="s">
        <v>515</v>
      </c>
      <c r="W1132" s="133">
        <v>1477</v>
      </c>
      <c r="X1132" s="133" t="s">
        <v>515</v>
      </c>
      <c r="Y1132" s="133">
        <v>989</v>
      </c>
      <c r="Z1132" s="327" t="s">
        <v>515</v>
      </c>
      <c r="AA1132" s="133">
        <v>735</v>
      </c>
      <c r="AB1132" s="133" t="s">
        <v>515</v>
      </c>
      <c r="AC1132" s="133">
        <v>1132</v>
      </c>
      <c r="AD1132" s="327" t="s">
        <v>515</v>
      </c>
      <c r="AE1132" s="133">
        <v>1939</v>
      </c>
      <c r="AF1132" s="133" t="s">
        <v>515</v>
      </c>
      <c r="AG1132" s="133">
        <v>1987</v>
      </c>
      <c r="AH1132" s="327" t="s">
        <v>515</v>
      </c>
      <c r="AI1132" s="133">
        <v>2261</v>
      </c>
      <c r="AJ1132" s="133" t="s">
        <v>515</v>
      </c>
      <c r="AK1132" s="133">
        <v>2215</v>
      </c>
      <c r="AL1132" s="327" t="s">
        <v>515</v>
      </c>
      <c r="AM1132" s="327">
        <f t="shared" si="29"/>
        <v>21050</v>
      </c>
    </row>
    <row r="1133" spans="1:39" ht="18" customHeight="1" x14ac:dyDescent="0.3">
      <c r="A1133" s="424">
        <f t="shared" si="28"/>
        <v>748</v>
      </c>
      <c r="B1133" s="422" t="s">
        <v>1591</v>
      </c>
      <c r="C1133" s="11" t="s">
        <v>268</v>
      </c>
      <c r="D1133" s="12" t="s">
        <v>247</v>
      </c>
      <c r="E1133" s="31" t="s">
        <v>144</v>
      </c>
      <c r="F1133" s="23" t="s">
        <v>49</v>
      </c>
      <c r="G1133" s="426" t="s">
        <v>1737</v>
      </c>
      <c r="H1133" s="133">
        <v>86</v>
      </c>
      <c r="I1133" s="158" t="s">
        <v>1738</v>
      </c>
      <c r="J1133" s="133">
        <v>0</v>
      </c>
      <c r="K1133" s="132" t="s">
        <v>218</v>
      </c>
      <c r="L1133" s="132" t="s">
        <v>218</v>
      </c>
      <c r="M1133" s="12">
        <v>0</v>
      </c>
      <c r="N1133" s="133">
        <v>0</v>
      </c>
      <c r="O1133" s="372">
        <v>0</v>
      </c>
      <c r="P1133" s="327" t="s">
        <v>515</v>
      </c>
      <c r="Q1133" s="133">
        <v>0</v>
      </c>
      <c r="R1133" s="327" t="s">
        <v>515</v>
      </c>
      <c r="S1133" s="133">
        <v>0</v>
      </c>
      <c r="T1133" s="327" t="s">
        <v>515</v>
      </c>
      <c r="U1133" s="133">
        <v>0</v>
      </c>
      <c r="V1133" s="327" t="s">
        <v>515</v>
      </c>
      <c r="W1133" s="133">
        <v>0</v>
      </c>
      <c r="X1133" s="133" t="s">
        <v>515</v>
      </c>
      <c r="Y1133" s="133">
        <v>0</v>
      </c>
      <c r="Z1133" s="327" t="s">
        <v>515</v>
      </c>
      <c r="AA1133" s="133">
        <v>0</v>
      </c>
      <c r="AB1133" s="133" t="s">
        <v>515</v>
      </c>
      <c r="AC1133" s="133">
        <v>0</v>
      </c>
      <c r="AD1133" s="327" t="s">
        <v>515</v>
      </c>
      <c r="AE1133" s="133">
        <v>0</v>
      </c>
      <c r="AF1133" s="133" t="s">
        <v>515</v>
      </c>
      <c r="AG1133" s="133">
        <v>0</v>
      </c>
      <c r="AH1133" s="327" t="s">
        <v>515</v>
      </c>
      <c r="AI1133" s="133">
        <v>0</v>
      </c>
      <c r="AJ1133" s="133" t="s">
        <v>515</v>
      </c>
      <c r="AK1133" s="133">
        <v>0</v>
      </c>
      <c r="AL1133" s="327" t="s">
        <v>515</v>
      </c>
      <c r="AM1133" s="327">
        <f t="shared" si="29"/>
        <v>0</v>
      </c>
    </row>
    <row r="1134" spans="1:39" ht="18" customHeight="1" x14ac:dyDescent="0.3">
      <c r="A1134" s="425"/>
      <c r="B1134" s="423"/>
      <c r="C1134" s="11" t="s">
        <v>268</v>
      </c>
      <c r="D1134" s="12" t="s">
        <v>247</v>
      </c>
      <c r="E1134" s="31" t="s">
        <v>48</v>
      </c>
      <c r="F1134" s="23" t="s">
        <v>49</v>
      </c>
      <c r="G1134" s="427"/>
      <c r="H1134" s="133"/>
      <c r="I1134" s="158" t="s">
        <v>1738</v>
      </c>
      <c r="J1134" s="133"/>
      <c r="K1134" s="132" t="s">
        <v>218</v>
      </c>
      <c r="L1134" s="132" t="s">
        <v>218</v>
      </c>
      <c r="M1134" s="12">
        <v>8393</v>
      </c>
      <c r="N1134" s="133">
        <v>7855</v>
      </c>
      <c r="O1134" s="372">
        <v>901</v>
      </c>
      <c r="P1134" s="327" t="s">
        <v>515</v>
      </c>
      <c r="Q1134" s="133">
        <v>490</v>
      </c>
      <c r="R1134" s="327" t="s">
        <v>515</v>
      </c>
      <c r="S1134" s="133">
        <v>369</v>
      </c>
      <c r="T1134" s="327" t="s">
        <v>515</v>
      </c>
      <c r="U1134" s="133">
        <v>266</v>
      </c>
      <c r="V1134" s="327" t="s">
        <v>515</v>
      </c>
      <c r="W1134" s="133">
        <v>431</v>
      </c>
      <c r="X1134" s="133" t="s">
        <v>515</v>
      </c>
      <c r="Y1134" s="133">
        <v>285</v>
      </c>
      <c r="Z1134" s="327" t="s">
        <v>515</v>
      </c>
      <c r="AA1134" s="133">
        <v>282</v>
      </c>
      <c r="AB1134" s="133" t="s">
        <v>515</v>
      </c>
      <c r="AC1134" s="133">
        <v>225</v>
      </c>
      <c r="AD1134" s="327" t="s">
        <v>515</v>
      </c>
      <c r="AE1134" s="133">
        <v>475</v>
      </c>
      <c r="AF1134" s="133" t="s">
        <v>515</v>
      </c>
      <c r="AG1134" s="133">
        <v>840</v>
      </c>
      <c r="AH1134" s="327" t="s">
        <v>515</v>
      </c>
      <c r="AI1134" s="133">
        <v>991</v>
      </c>
      <c r="AJ1134" s="133" t="s">
        <v>515</v>
      </c>
      <c r="AK1134" s="133">
        <v>1101</v>
      </c>
      <c r="AL1134" s="327" t="s">
        <v>515</v>
      </c>
      <c r="AM1134" s="327">
        <f t="shared" si="29"/>
        <v>6656</v>
      </c>
    </row>
    <row r="1135" spans="1:39" ht="18" customHeight="1" x14ac:dyDescent="0.3">
      <c r="A1135" s="424">
        <f t="shared" si="28"/>
        <v>749</v>
      </c>
      <c r="B1135" s="422" t="s">
        <v>1592</v>
      </c>
      <c r="C1135" s="11" t="s">
        <v>268</v>
      </c>
      <c r="D1135" s="12" t="s">
        <v>247</v>
      </c>
      <c r="E1135" s="31" t="s">
        <v>144</v>
      </c>
      <c r="F1135" s="23" t="s">
        <v>49</v>
      </c>
      <c r="G1135" s="426" t="s">
        <v>1737</v>
      </c>
      <c r="H1135" s="133">
        <v>254</v>
      </c>
      <c r="I1135" s="158" t="s">
        <v>1738</v>
      </c>
      <c r="J1135" s="133">
        <v>10</v>
      </c>
      <c r="K1135" s="132" t="s">
        <v>218</v>
      </c>
      <c r="L1135" s="132" t="s">
        <v>218</v>
      </c>
      <c r="M1135" s="12">
        <v>34980</v>
      </c>
      <c r="N1135" s="133">
        <v>23860</v>
      </c>
      <c r="O1135" s="372">
        <v>2840</v>
      </c>
      <c r="P1135" s="327" t="s">
        <v>515</v>
      </c>
      <c r="Q1135" s="133">
        <v>3180</v>
      </c>
      <c r="R1135" s="327" t="s">
        <v>515</v>
      </c>
      <c r="S1135" s="133">
        <v>2620</v>
      </c>
      <c r="T1135" s="327" t="s">
        <v>515</v>
      </c>
      <c r="U1135" s="133">
        <v>3340</v>
      </c>
      <c r="V1135" s="327" t="s">
        <v>515</v>
      </c>
      <c r="W1135" s="133">
        <v>2760</v>
      </c>
      <c r="X1135" s="133" t="s">
        <v>515</v>
      </c>
      <c r="Y1135" s="133">
        <v>2840</v>
      </c>
      <c r="Z1135" s="327" t="s">
        <v>515</v>
      </c>
      <c r="AA1135" s="133">
        <v>3060</v>
      </c>
      <c r="AB1135" s="133" t="s">
        <v>515</v>
      </c>
      <c r="AC1135" s="133">
        <v>2200</v>
      </c>
      <c r="AD1135" s="327" t="s">
        <v>515</v>
      </c>
      <c r="AE1135" s="133">
        <v>0</v>
      </c>
      <c r="AF1135" s="133" t="s">
        <v>515</v>
      </c>
      <c r="AG1135" s="133">
        <v>300</v>
      </c>
      <c r="AH1135" s="327" t="s">
        <v>515</v>
      </c>
      <c r="AI1135" s="133">
        <v>380</v>
      </c>
      <c r="AJ1135" s="133" t="s">
        <v>515</v>
      </c>
      <c r="AK1135" s="133">
        <v>340</v>
      </c>
      <c r="AL1135" s="327" t="s">
        <v>515</v>
      </c>
      <c r="AM1135" s="327">
        <f t="shared" si="29"/>
        <v>23860</v>
      </c>
    </row>
    <row r="1136" spans="1:39" ht="18" customHeight="1" x14ac:dyDescent="0.3">
      <c r="A1136" s="425"/>
      <c r="B1136" s="423"/>
      <c r="C1136" s="11" t="s">
        <v>268</v>
      </c>
      <c r="D1136" s="12" t="s">
        <v>247</v>
      </c>
      <c r="E1136" s="31" t="s">
        <v>48</v>
      </c>
      <c r="F1136" s="23" t="s">
        <v>49</v>
      </c>
      <c r="G1136" s="427"/>
      <c r="H1136" s="133"/>
      <c r="I1136" s="158" t="s">
        <v>1738</v>
      </c>
      <c r="J1136" s="133"/>
      <c r="K1136" s="132" t="s">
        <v>218</v>
      </c>
      <c r="L1136" s="132" t="s">
        <v>218</v>
      </c>
      <c r="M1136" s="12">
        <v>94945</v>
      </c>
      <c r="N1136" s="133">
        <v>91081</v>
      </c>
      <c r="O1136" s="372">
        <v>8169</v>
      </c>
      <c r="P1136" s="327" t="s">
        <v>515</v>
      </c>
      <c r="Q1136" s="133">
        <v>12274</v>
      </c>
      <c r="R1136" s="327" t="s">
        <v>515</v>
      </c>
      <c r="S1136" s="133">
        <v>7521</v>
      </c>
      <c r="T1136" s="327" t="s">
        <v>515</v>
      </c>
      <c r="U1136" s="133">
        <v>10241</v>
      </c>
      <c r="V1136" s="327" t="s">
        <v>515</v>
      </c>
      <c r="W1136" s="133">
        <v>6436</v>
      </c>
      <c r="X1136" s="133" t="s">
        <v>515</v>
      </c>
      <c r="Y1136" s="133">
        <v>6512</v>
      </c>
      <c r="Z1136" s="327" t="s">
        <v>515</v>
      </c>
      <c r="AA1136" s="133">
        <v>6081</v>
      </c>
      <c r="AB1136" s="133" t="s">
        <v>515</v>
      </c>
      <c r="AC1136" s="133">
        <v>6032</v>
      </c>
      <c r="AD1136" s="327" t="s">
        <v>515</v>
      </c>
      <c r="AE1136" s="133">
        <v>9469</v>
      </c>
      <c r="AF1136" s="133" t="s">
        <v>515</v>
      </c>
      <c r="AG1136" s="133">
        <v>7901</v>
      </c>
      <c r="AH1136" s="327" t="s">
        <v>515</v>
      </c>
      <c r="AI1136" s="133">
        <v>7765</v>
      </c>
      <c r="AJ1136" s="133" t="s">
        <v>515</v>
      </c>
      <c r="AK1136" s="133">
        <v>7810</v>
      </c>
      <c r="AL1136" s="327" t="s">
        <v>515</v>
      </c>
      <c r="AM1136" s="327">
        <f t="shared" si="29"/>
        <v>96211</v>
      </c>
    </row>
    <row r="1137" spans="1:39" ht="18" customHeight="1" x14ac:dyDescent="0.3">
      <c r="A1137" s="424">
        <f t="shared" si="28"/>
        <v>750</v>
      </c>
      <c r="B1137" s="422" t="s">
        <v>1593</v>
      </c>
      <c r="C1137" s="11" t="s">
        <v>268</v>
      </c>
      <c r="D1137" s="12" t="s">
        <v>247</v>
      </c>
      <c r="E1137" s="31" t="s">
        <v>144</v>
      </c>
      <c r="F1137" s="23" t="s">
        <v>49</v>
      </c>
      <c r="G1137" s="426" t="s">
        <v>1737</v>
      </c>
      <c r="H1137" s="133">
        <v>160</v>
      </c>
      <c r="I1137" s="158" t="s">
        <v>1738</v>
      </c>
      <c r="J1137" s="133">
        <v>10</v>
      </c>
      <c r="K1137" s="132" t="s">
        <v>218</v>
      </c>
      <c r="L1137" s="132" t="s">
        <v>218</v>
      </c>
      <c r="M1137" s="12">
        <v>23650</v>
      </c>
      <c r="N1137" s="133">
        <v>21680</v>
      </c>
      <c r="O1137" s="372">
        <v>2070</v>
      </c>
      <c r="P1137" s="327" t="s">
        <v>515</v>
      </c>
      <c r="Q1137" s="133">
        <v>1950</v>
      </c>
      <c r="R1137" s="327" t="s">
        <v>515</v>
      </c>
      <c r="S1137" s="133">
        <v>1940</v>
      </c>
      <c r="T1137" s="327" t="s">
        <v>515</v>
      </c>
      <c r="U1137" s="133">
        <v>2400</v>
      </c>
      <c r="V1137" s="327" t="s">
        <v>515</v>
      </c>
      <c r="W1137" s="133">
        <v>1890</v>
      </c>
      <c r="X1137" s="133" t="s">
        <v>515</v>
      </c>
      <c r="Y1137" s="133">
        <v>2030</v>
      </c>
      <c r="Z1137" s="327" t="s">
        <v>515</v>
      </c>
      <c r="AA1137" s="133">
        <v>2000</v>
      </c>
      <c r="AB1137" s="133" t="s">
        <v>515</v>
      </c>
      <c r="AC1137" s="133">
        <v>1560</v>
      </c>
      <c r="AD1137" s="327" t="s">
        <v>515</v>
      </c>
      <c r="AE1137" s="133">
        <v>0</v>
      </c>
      <c r="AF1137" s="133" t="s">
        <v>515</v>
      </c>
      <c r="AG1137" s="133">
        <v>1890</v>
      </c>
      <c r="AH1137" s="327" t="s">
        <v>515</v>
      </c>
      <c r="AI1137" s="133">
        <v>2200</v>
      </c>
      <c r="AJ1137" s="133" t="s">
        <v>515</v>
      </c>
      <c r="AK1137" s="133">
        <v>1750</v>
      </c>
      <c r="AL1137" s="327" t="s">
        <v>515</v>
      </c>
      <c r="AM1137" s="327">
        <f t="shared" si="29"/>
        <v>21680</v>
      </c>
    </row>
    <row r="1138" spans="1:39" ht="18" customHeight="1" x14ac:dyDescent="0.3">
      <c r="A1138" s="425"/>
      <c r="B1138" s="423"/>
      <c r="C1138" s="11" t="s">
        <v>268</v>
      </c>
      <c r="D1138" s="12" t="s">
        <v>247</v>
      </c>
      <c r="E1138" s="31" t="s">
        <v>48</v>
      </c>
      <c r="F1138" s="23" t="s">
        <v>49</v>
      </c>
      <c r="G1138" s="427"/>
      <c r="H1138" s="133"/>
      <c r="I1138" s="158" t="s">
        <v>1738</v>
      </c>
      <c r="J1138" s="133"/>
      <c r="K1138" s="132" t="s">
        <v>218</v>
      </c>
      <c r="L1138" s="132" t="s">
        <v>218</v>
      </c>
      <c r="M1138" s="12">
        <v>32605</v>
      </c>
      <c r="N1138" s="133">
        <v>37992</v>
      </c>
      <c r="O1138" s="372">
        <v>4095</v>
      </c>
      <c r="P1138" s="327" t="s">
        <v>515</v>
      </c>
      <c r="Q1138" s="133">
        <v>3928</v>
      </c>
      <c r="R1138" s="327" t="s">
        <v>515</v>
      </c>
      <c r="S1138" s="133">
        <v>2690</v>
      </c>
      <c r="T1138" s="327" t="s">
        <v>515</v>
      </c>
      <c r="U1138" s="133">
        <v>2000</v>
      </c>
      <c r="V1138" s="327" t="s">
        <v>515</v>
      </c>
      <c r="W1138" s="133">
        <v>1953</v>
      </c>
      <c r="X1138" s="133" t="s">
        <v>515</v>
      </c>
      <c r="Y1138" s="133">
        <v>1834</v>
      </c>
      <c r="Z1138" s="327" t="s">
        <v>515</v>
      </c>
      <c r="AA1138" s="133">
        <v>2203</v>
      </c>
      <c r="AB1138" s="133" t="s">
        <v>515</v>
      </c>
      <c r="AC1138" s="133">
        <v>2201</v>
      </c>
      <c r="AD1138" s="327" t="s">
        <v>515</v>
      </c>
      <c r="AE1138" s="133">
        <v>5054</v>
      </c>
      <c r="AF1138" s="133" t="s">
        <v>515</v>
      </c>
      <c r="AG1138" s="133">
        <v>3283</v>
      </c>
      <c r="AH1138" s="327" t="s">
        <v>515</v>
      </c>
      <c r="AI1138" s="133">
        <v>4261</v>
      </c>
      <c r="AJ1138" s="133" t="s">
        <v>515</v>
      </c>
      <c r="AK1138" s="133">
        <v>3631</v>
      </c>
      <c r="AL1138" s="327" t="s">
        <v>515</v>
      </c>
      <c r="AM1138" s="327">
        <f t="shared" si="29"/>
        <v>37133</v>
      </c>
    </row>
    <row r="1139" spans="1:39" ht="18" customHeight="1" x14ac:dyDescent="0.3">
      <c r="A1139" s="424">
        <f t="shared" si="28"/>
        <v>751</v>
      </c>
      <c r="B1139" s="422" t="s">
        <v>1594</v>
      </c>
      <c r="C1139" s="11" t="s">
        <v>268</v>
      </c>
      <c r="D1139" s="12" t="s">
        <v>247</v>
      </c>
      <c r="E1139" s="31" t="s">
        <v>144</v>
      </c>
      <c r="F1139" s="23" t="s">
        <v>49</v>
      </c>
      <c r="G1139" s="426" t="s">
        <v>1737</v>
      </c>
      <c r="H1139" s="133">
        <v>342</v>
      </c>
      <c r="I1139" s="158" t="s">
        <v>1738</v>
      </c>
      <c r="J1139" s="133">
        <v>15</v>
      </c>
      <c r="K1139" s="132" t="s">
        <v>218</v>
      </c>
      <c r="L1139" s="132" t="s">
        <v>218</v>
      </c>
      <c r="M1139" s="12">
        <v>37947</v>
      </c>
      <c r="N1139" s="133">
        <v>37949</v>
      </c>
      <c r="O1139" s="372">
        <v>3880</v>
      </c>
      <c r="P1139" s="327" t="s">
        <v>515</v>
      </c>
      <c r="Q1139" s="133">
        <v>3332</v>
      </c>
      <c r="R1139" s="327" t="s">
        <v>515</v>
      </c>
      <c r="S1139" s="133">
        <v>3181</v>
      </c>
      <c r="T1139" s="327" t="s">
        <v>515</v>
      </c>
      <c r="U1139" s="133">
        <v>3706</v>
      </c>
      <c r="V1139" s="327" t="s">
        <v>515</v>
      </c>
      <c r="W1139" s="133">
        <v>3319</v>
      </c>
      <c r="X1139" s="133" t="s">
        <v>515</v>
      </c>
      <c r="Y1139" s="133">
        <v>3418</v>
      </c>
      <c r="Z1139" s="327" t="s">
        <v>515</v>
      </c>
      <c r="AA1139" s="133">
        <v>3083</v>
      </c>
      <c r="AB1139" s="133" t="s">
        <v>515</v>
      </c>
      <c r="AC1139" s="133">
        <v>2897</v>
      </c>
      <c r="AD1139" s="327" t="s">
        <v>515</v>
      </c>
      <c r="AE1139" s="133">
        <v>0</v>
      </c>
      <c r="AF1139" s="133" t="s">
        <v>515</v>
      </c>
      <c r="AG1139" s="133">
        <v>3807</v>
      </c>
      <c r="AH1139" s="327" t="s">
        <v>515</v>
      </c>
      <c r="AI1139" s="133">
        <v>3900</v>
      </c>
      <c r="AJ1139" s="133" t="s">
        <v>515</v>
      </c>
      <c r="AK1139" s="133">
        <v>3426</v>
      </c>
      <c r="AL1139" s="327" t="s">
        <v>515</v>
      </c>
      <c r="AM1139" s="327">
        <f t="shared" si="29"/>
        <v>37949</v>
      </c>
    </row>
    <row r="1140" spans="1:39" ht="18" customHeight="1" x14ac:dyDescent="0.3">
      <c r="A1140" s="425"/>
      <c r="B1140" s="423"/>
      <c r="C1140" s="11" t="s">
        <v>268</v>
      </c>
      <c r="D1140" s="12" t="s">
        <v>247</v>
      </c>
      <c r="E1140" s="31" t="s">
        <v>48</v>
      </c>
      <c r="F1140" s="23" t="s">
        <v>49</v>
      </c>
      <c r="G1140" s="427"/>
      <c r="H1140" s="133"/>
      <c r="I1140" s="158" t="s">
        <v>1738</v>
      </c>
      <c r="J1140" s="133"/>
      <c r="K1140" s="132" t="s">
        <v>218</v>
      </c>
      <c r="L1140" s="132" t="s">
        <v>218</v>
      </c>
      <c r="M1140" s="12">
        <v>35404</v>
      </c>
      <c r="N1140" s="133">
        <v>40838</v>
      </c>
      <c r="O1140" s="372">
        <v>4402</v>
      </c>
      <c r="P1140" s="327" t="s">
        <v>515</v>
      </c>
      <c r="Q1140" s="133">
        <v>3263</v>
      </c>
      <c r="R1140" s="327" t="s">
        <v>515</v>
      </c>
      <c r="S1140" s="133">
        <v>4032</v>
      </c>
      <c r="T1140" s="327" t="s">
        <v>515</v>
      </c>
      <c r="U1140" s="133">
        <v>1977</v>
      </c>
      <c r="V1140" s="327" t="s">
        <v>515</v>
      </c>
      <c r="W1140" s="133">
        <v>2564</v>
      </c>
      <c r="X1140" s="133" t="s">
        <v>515</v>
      </c>
      <c r="Y1140" s="133">
        <v>2415</v>
      </c>
      <c r="Z1140" s="327" t="s">
        <v>515</v>
      </c>
      <c r="AA1140" s="133">
        <v>2220</v>
      </c>
      <c r="AB1140" s="133" t="s">
        <v>515</v>
      </c>
      <c r="AC1140" s="133">
        <v>2050</v>
      </c>
      <c r="AD1140" s="327" t="s">
        <v>515</v>
      </c>
      <c r="AE1140" s="133">
        <v>6058</v>
      </c>
      <c r="AF1140" s="133" t="s">
        <v>515</v>
      </c>
      <c r="AG1140" s="133">
        <v>3248</v>
      </c>
      <c r="AH1140" s="327" t="s">
        <v>515</v>
      </c>
      <c r="AI1140" s="133">
        <v>3936</v>
      </c>
      <c r="AJ1140" s="133" t="s">
        <v>515</v>
      </c>
      <c r="AK1140" s="133">
        <v>3821</v>
      </c>
      <c r="AL1140" s="327" t="s">
        <v>515</v>
      </c>
      <c r="AM1140" s="327">
        <f t="shared" si="29"/>
        <v>39986</v>
      </c>
    </row>
    <row r="1141" spans="1:39" ht="18" customHeight="1" x14ac:dyDescent="0.3">
      <c r="A1141" s="424">
        <f t="shared" si="28"/>
        <v>752</v>
      </c>
      <c r="B1141" s="422" t="s">
        <v>1595</v>
      </c>
      <c r="C1141" s="11" t="s">
        <v>268</v>
      </c>
      <c r="D1141" s="12" t="s">
        <v>247</v>
      </c>
      <c r="E1141" s="31" t="s">
        <v>144</v>
      </c>
      <c r="F1141" s="23" t="s">
        <v>49</v>
      </c>
      <c r="G1141" s="426" t="s">
        <v>1737</v>
      </c>
      <c r="H1141" s="133">
        <v>35</v>
      </c>
      <c r="I1141" s="158" t="s">
        <v>1738</v>
      </c>
      <c r="J1141" s="133">
        <v>1</v>
      </c>
      <c r="K1141" s="132" t="s">
        <v>218</v>
      </c>
      <c r="L1141" s="132" t="s">
        <v>218</v>
      </c>
      <c r="M1141" s="12">
        <v>3180</v>
      </c>
      <c r="N1141" s="133">
        <v>1592</v>
      </c>
      <c r="O1141" s="372">
        <v>137</v>
      </c>
      <c r="P1141" s="327" t="s">
        <v>515</v>
      </c>
      <c r="Q1141" s="133">
        <v>165</v>
      </c>
      <c r="R1141" s="327" t="s">
        <v>515</v>
      </c>
      <c r="S1141" s="133">
        <v>152</v>
      </c>
      <c r="T1141" s="327" t="s">
        <v>515</v>
      </c>
      <c r="U1141" s="133">
        <v>201</v>
      </c>
      <c r="V1141" s="327" t="s">
        <v>515</v>
      </c>
      <c r="W1141" s="133">
        <v>144</v>
      </c>
      <c r="X1141" s="133" t="s">
        <v>515</v>
      </c>
      <c r="Y1141" s="133">
        <v>121</v>
      </c>
      <c r="Z1141" s="327" t="s">
        <v>515</v>
      </c>
      <c r="AA1141" s="133">
        <v>135</v>
      </c>
      <c r="AB1141" s="133" t="s">
        <v>515</v>
      </c>
      <c r="AC1141" s="133">
        <v>113</v>
      </c>
      <c r="AD1141" s="327" t="s">
        <v>515</v>
      </c>
      <c r="AE1141" s="133">
        <v>0</v>
      </c>
      <c r="AF1141" s="133" t="s">
        <v>515</v>
      </c>
      <c r="AG1141" s="133">
        <v>111</v>
      </c>
      <c r="AH1141" s="327" t="s">
        <v>515</v>
      </c>
      <c r="AI1141" s="133">
        <v>181</v>
      </c>
      <c r="AJ1141" s="133" t="s">
        <v>515</v>
      </c>
      <c r="AK1141" s="133">
        <v>132</v>
      </c>
      <c r="AL1141" s="327" t="s">
        <v>515</v>
      </c>
      <c r="AM1141" s="327">
        <f t="shared" si="29"/>
        <v>1592</v>
      </c>
    </row>
    <row r="1142" spans="1:39" ht="18" customHeight="1" x14ac:dyDescent="0.3">
      <c r="A1142" s="425"/>
      <c r="B1142" s="423"/>
      <c r="C1142" s="11" t="s">
        <v>268</v>
      </c>
      <c r="D1142" s="12" t="s">
        <v>247</v>
      </c>
      <c r="E1142" s="31" t="s">
        <v>48</v>
      </c>
      <c r="F1142" s="23" t="s">
        <v>49</v>
      </c>
      <c r="G1142" s="427"/>
      <c r="H1142" s="133"/>
      <c r="I1142" s="158" t="s">
        <v>1738</v>
      </c>
      <c r="J1142" s="133"/>
      <c r="K1142" s="132" t="s">
        <v>218</v>
      </c>
      <c r="L1142" s="132" t="s">
        <v>218</v>
      </c>
      <c r="M1142" s="12">
        <v>3856</v>
      </c>
      <c r="N1142" s="133">
        <v>4465</v>
      </c>
      <c r="O1142" s="372">
        <v>384</v>
      </c>
      <c r="P1142" s="327" t="s">
        <v>515</v>
      </c>
      <c r="Q1142" s="133">
        <v>615</v>
      </c>
      <c r="R1142" s="327" t="s">
        <v>515</v>
      </c>
      <c r="S1142" s="133">
        <v>464</v>
      </c>
      <c r="T1142" s="327" t="s">
        <v>515</v>
      </c>
      <c r="U1142" s="133">
        <v>323</v>
      </c>
      <c r="V1142" s="327" t="s">
        <v>515</v>
      </c>
      <c r="W1142" s="133">
        <v>270</v>
      </c>
      <c r="X1142" s="133" t="s">
        <v>515</v>
      </c>
      <c r="Y1142" s="133">
        <v>264</v>
      </c>
      <c r="Z1142" s="327" t="s">
        <v>515</v>
      </c>
      <c r="AA1142" s="133">
        <v>343</v>
      </c>
      <c r="AB1142" s="133" t="s">
        <v>515</v>
      </c>
      <c r="AC1142" s="133">
        <v>286</v>
      </c>
      <c r="AD1142" s="327" t="s">
        <v>515</v>
      </c>
      <c r="AE1142" s="133">
        <v>512</v>
      </c>
      <c r="AF1142" s="133" t="s">
        <v>515</v>
      </c>
      <c r="AG1142" s="133">
        <v>295</v>
      </c>
      <c r="AH1142" s="327" t="s">
        <v>515</v>
      </c>
      <c r="AI1142" s="133">
        <v>482</v>
      </c>
      <c r="AJ1142" s="133" t="s">
        <v>515</v>
      </c>
      <c r="AK1142" s="133">
        <v>373</v>
      </c>
      <c r="AL1142" s="327" t="s">
        <v>515</v>
      </c>
      <c r="AM1142" s="327">
        <f t="shared" si="29"/>
        <v>4611</v>
      </c>
    </row>
    <row r="1143" spans="1:39" ht="18" customHeight="1" x14ac:dyDescent="0.3">
      <c r="A1143" s="424">
        <f t="shared" si="28"/>
        <v>753</v>
      </c>
      <c r="B1143" s="422" t="s">
        <v>1596</v>
      </c>
      <c r="C1143" s="11" t="s">
        <v>268</v>
      </c>
      <c r="D1143" s="12" t="s">
        <v>247</v>
      </c>
      <c r="E1143" s="31" t="s">
        <v>144</v>
      </c>
      <c r="F1143" s="23" t="s">
        <v>49</v>
      </c>
      <c r="G1143" s="426" t="s">
        <v>1737</v>
      </c>
      <c r="H1143" s="133">
        <v>216</v>
      </c>
      <c r="I1143" s="158" t="s">
        <v>1738</v>
      </c>
      <c r="J1143" s="133">
        <v>0</v>
      </c>
      <c r="K1143" s="132" t="s">
        <v>218</v>
      </c>
      <c r="L1143" s="132" t="s">
        <v>218</v>
      </c>
      <c r="M1143" s="12">
        <v>14489</v>
      </c>
      <c r="N1143" s="133">
        <v>12667</v>
      </c>
      <c r="O1143" s="372">
        <v>1116</v>
      </c>
      <c r="P1143" s="327" t="s">
        <v>515</v>
      </c>
      <c r="Q1143" s="133">
        <v>1484</v>
      </c>
      <c r="R1143" s="327" t="s">
        <v>515</v>
      </c>
      <c r="S1143" s="133">
        <v>1311</v>
      </c>
      <c r="T1143" s="327" t="s">
        <v>515</v>
      </c>
      <c r="U1143" s="133">
        <v>1462</v>
      </c>
      <c r="V1143" s="327" t="s">
        <v>515</v>
      </c>
      <c r="W1143" s="133">
        <v>1116</v>
      </c>
      <c r="X1143" s="133" t="s">
        <v>515</v>
      </c>
      <c r="Y1143" s="133">
        <v>1223</v>
      </c>
      <c r="Z1143" s="327" t="s">
        <v>515</v>
      </c>
      <c r="AA1143" s="133">
        <v>1277</v>
      </c>
      <c r="AB1143" s="133" t="s">
        <v>515</v>
      </c>
      <c r="AC1143" s="133">
        <v>559</v>
      </c>
      <c r="AD1143" s="327" t="s">
        <v>515</v>
      </c>
      <c r="AE1143" s="133">
        <v>0</v>
      </c>
      <c r="AF1143" s="133" t="s">
        <v>515</v>
      </c>
      <c r="AG1143" s="133">
        <v>1409</v>
      </c>
      <c r="AH1143" s="327" t="s">
        <v>515</v>
      </c>
      <c r="AI1143" s="133">
        <v>1170</v>
      </c>
      <c r="AJ1143" s="133" t="s">
        <v>515</v>
      </c>
      <c r="AK1143" s="133">
        <v>540</v>
      </c>
      <c r="AL1143" s="327" t="s">
        <v>515</v>
      </c>
      <c r="AM1143" s="327">
        <f t="shared" si="29"/>
        <v>12667</v>
      </c>
    </row>
    <row r="1144" spans="1:39" ht="18" customHeight="1" x14ac:dyDescent="0.3">
      <c r="A1144" s="425"/>
      <c r="B1144" s="423"/>
      <c r="C1144" s="11" t="s">
        <v>268</v>
      </c>
      <c r="D1144" s="12" t="s">
        <v>247</v>
      </c>
      <c r="E1144" s="31" t="s">
        <v>48</v>
      </c>
      <c r="F1144" s="23" t="s">
        <v>49</v>
      </c>
      <c r="G1144" s="427"/>
      <c r="H1144" s="133"/>
      <c r="I1144" s="158" t="s">
        <v>1738</v>
      </c>
      <c r="J1144" s="133"/>
      <c r="K1144" s="132" t="s">
        <v>218</v>
      </c>
      <c r="L1144" s="132" t="s">
        <v>218</v>
      </c>
      <c r="M1144" s="12">
        <v>50368</v>
      </c>
      <c r="N1144" s="133">
        <v>46937</v>
      </c>
      <c r="O1144" s="372">
        <v>3800</v>
      </c>
      <c r="P1144" s="327" t="s">
        <v>515</v>
      </c>
      <c r="Q1144" s="133">
        <v>3066</v>
      </c>
      <c r="R1144" s="327" t="s">
        <v>515</v>
      </c>
      <c r="S1144" s="133">
        <v>2726</v>
      </c>
      <c r="T1144" s="327" t="s">
        <v>515</v>
      </c>
      <c r="U1144" s="133">
        <v>1846</v>
      </c>
      <c r="V1144" s="327" t="s">
        <v>515</v>
      </c>
      <c r="W1144" s="133">
        <v>3133</v>
      </c>
      <c r="X1144" s="133" t="s">
        <v>515</v>
      </c>
      <c r="Y1144" s="133">
        <v>3270</v>
      </c>
      <c r="Z1144" s="327" t="s">
        <v>515</v>
      </c>
      <c r="AA1144" s="133">
        <v>3676</v>
      </c>
      <c r="AB1144" s="133" t="s">
        <v>515</v>
      </c>
      <c r="AC1144" s="133">
        <v>3804</v>
      </c>
      <c r="AD1144" s="327" t="s">
        <v>515</v>
      </c>
      <c r="AE1144" s="133">
        <v>4352</v>
      </c>
      <c r="AF1144" s="133" t="s">
        <v>515</v>
      </c>
      <c r="AG1144" s="133">
        <v>4218</v>
      </c>
      <c r="AH1144" s="327" t="s">
        <v>515</v>
      </c>
      <c r="AI1144" s="133">
        <v>3584</v>
      </c>
      <c r="AJ1144" s="133" t="s">
        <v>515</v>
      </c>
      <c r="AK1144" s="133">
        <v>4342</v>
      </c>
      <c r="AL1144" s="327" t="s">
        <v>515</v>
      </c>
      <c r="AM1144" s="327">
        <f t="shared" si="29"/>
        <v>41817</v>
      </c>
    </row>
    <row r="1145" spans="1:39" ht="18" customHeight="1" x14ac:dyDescent="0.3">
      <c r="A1145" s="424">
        <f t="shared" ref="A1145:A1187" si="30">A1143+1</f>
        <v>754</v>
      </c>
      <c r="B1145" s="422" t="s">
        <v>1597</v>
      </c>
      <c r="C1145" s="11" t="s">
        <v>268</v>
      </c>
      <c r="D1145" s="12" t="s">
        <v>247</v>
      </c>
      <c r="E1145" s="31" t="s">
        <v>144</v>
      </c>
      <c r="F1145" s="23" t="s">
        <v>49</v>
      </c>
      <c r="G1145" s="426" t="s">
        <v>1737</v>
      </c>
      <c r="H1145" s="133">
        <v>254</v>
      </c>
      <c r="I1145" s="158" t="s">
        <v>1738</v>
      </c>
      <c r="J1145" s="133">
        <v>18</v>
      </c>
      <c r="K1145" s="132" t="s">
        <v>218</v>
      </c>
      <c r="L1145" s="132" t="s">
        <v>218</v>
      </c>
      <c r="M1145" s="12">
        <v>36938</v>
      </c>
      <c r="N1145" s="133">
        <v>36202</v>
      </c>
      <c r="O1145" s="372">
        <v>3584</v>
      </c>
      <c r="P1145" s="327" t="s">
        <v>515</v>
      </c>
      <c r="Q1145" s="133">
        <v>3437</v>
      </c>
      <c r="R1145" s="327" t="s">
        <v>515</v>
      </c>
      <c r="S1145" s="133">
        <v>3058</v>
      </c>
      <c r="T1145" s="327" t="s">
        <v>515</v>
      </c>
      <c r="U1145" s="133">
        <v>3253</v>
      </c>
      <c r="V1145" s="327" t="s">
        <v>515</v>
      </c>
      <c r="W1145" s="133">
        <v>3965</v>
      </c>
      <c r="X1145" s="133" t="s">
        <v>515</v>
      </c>
      <c r="Y1145" s="133">
        <v>3134</v>
      </c>
      <c r="Z1145" s="327" t="s">
        <v>515</v>
      </c>
      <c r="AA1145" s="133">
        <v>3502</v>
      </c>
      <c r="AB1145" s="133" t="s">
        <v>515</v>
      </c>
      <c r="AC1145" s="133">
        <v>2688</v>
      </c>
      <c r="AD1145" s="327" t="s">
        <v>515</v>
      </c>
      <c r="AE1145" s="133">
        <v>0</v>
      </c>
      <c r="AF1145" s="133" t="s">
        <v>515</v>
      </c>
      <c r="AG1145" s="133">
        <v>3225</v>
      </c>
      <c r="AH1145" s="327" t="s">
        <v>515</v>
      </c>
      <c r="AI1145" s="133">
        <v>3394</v>
      </c>
      <c r="AJ1145" s="133" t="s">
        <v>515</v>
      </c>
      <c r="AK1145" s="133">
        <v>2962</v>
      </c>
      <c r="AL1145" s="327" t="s">
        <v>515</v>
      </c>
      <c r="AM1145" s="327">
        <f t="shared" si="29"/>
        <v>36202</v>
      </c>
    </row>
    <row r="1146" spans="1:39" ht="18" customHeight="1" x14ac:dyDescent="0.3">
      <c r="A1146" s="425"/>
      <c r="B1146" s="423"/>
      <c r="C1146" s="11" t="s">
        <v>268</v>
      </c>
      <c r="D1146" s="12" t="s">
        <v>247</v>
      </c>
      <c r="E1146" s="31" t="s">
        <v>48</v>
      </c>
      <c r="F1146" s="23" t="s">
        <v>49</v>
      </c>
      <c r="G1146" s="427"/>
      <c r="H1146" s="133"/>
      <c r="I1146" s="158" t="s">
        <v>1738</v>
      </c>
      <c r="J1146" s="133"/>
      <c r="K1146" s="132" t="s">
        <v>218</v>
      </c>
      <c r="L1146" s="132" t="s">
        <v>218</v>
      </c>
      <c r="M1146" s="12">
        <v>26958</v>
      </c>
      <c r="N1146" s="133">
        <v>35107</v>
      </c>
      <c r="O1146" s="372">
        <v>4383</v>
      </c>
      <c r="P1146" s="327" t="s">
        <v>515</v>
      </c>
      <c r="Q1146" s="133">
        <v>2164</v>
      </c>
      <c r="R1146" s="327" t="s">
        <v>515</v>
      </c>
      <c r="S1146" s="133">
        <v>1201</v>
      </c>
      <c r="T1146" s="327" t="s">
        <v>515</v>
      </c>
      <c r="U1146" s="133">
        <v>2230</v>
      </c>
      <c r="V1146" s="327" t="s">
        <v>515</v>
      </c>
      <c r="W1146" s="133">
        <v>1861</v>
      </c>
      <c r="X1146" s="133" t="s">
        <v>515</v>
      </c>
      <c r="Y1146" s="133">
        <v>1361</v>
      </c>
      <c r="Z1146" s="327" t="s">
        <v>515</v>
      </c>
      <c r="AA1146" s="133">
        <v>1628</v>
      </c>
      <c r="AB1146" s="133" t="s">
        <v>515</v>
      </c>
      <c r="AC1146" s="133">
        <v>1369</v>
      </c>
      <c r="AD1146" s="327" t="s">
        <v>515</v>
      </c>
      <c r="AE1146" s="133">
        <v>7115</v>
      </c>
      <c r="AF1146" s="133" t="s">
        <v>515</v>
      </c>
      <c r="AG1146" s="133">
        <v>2501</v>
      </c>
      <c r="AH1146" s="327" t="s">
        <v>515</v>
      </c>
      <c r="AI1146" s="133">
        <v>3114</v>
      </c>
      <c r="AJ1146" s="133" t="s">
        <v>515</v>
      </c>
      <c r="AK1146" s="133">
        <v>3321</v>
      </c>
      <c r="AL1146" s="327" t="s">
        <v>515</v>
      </c>
      <c r="AM1146" s="327">
        <f t="shared" si="29"/>
        <v>32248</v>
      </c>
    </row>
    <row r="1147" spans="1:39" ht="18" customHeight="1" x14ac:dyDescent="0.3">
      <c r="A1147" s="424">
        <f t="shared" si="30"/>
        <v>755</v>
      </c>
      <c r="B1147" s="422" t="s">
        <v>1598</v>
      </c>
      <c r="C1147" s="11" t="s">
        <v>268</v>
      </c>
      <c r="D1147" s="12" t="s">
        <v>247</v>
      </c>
      <c r="E1147" s="31" t="s">
        <v>144</v>
      </c>
      <c r="F1147" s="23" t="s">
        <v>49</v>
      </c>
      <c r="G1147" s="426" t="s">
        <v>1737</v>
      </c>
      <c r="H1147" s="133">
        <v>186</v>
      </c>
      <c r="I1147" s="158" t="s">
        <v>1738</v>
      </c>
      <c r="J1147" s="133">
        <v>5</v>
      </c>
      <c r="K1147" s="132" t="s">
        <v>218</v>
      </c>
      <c r="L1147" s="132" t="s">
        <v>218</v>
      </c>
      <c r="M1147" s="12">
        <v>17680</v>
      </c>
      <c r="N1147" s="133">
        <v>14134</v>
      </c>
      <c r="O1147" s="372">
        <v>1680</v>
      </c>
      <c r="P1147" s="327" t="s">
        <v>515</v>
      </c>
      <c r="Q1147" s="133">
        <v>1540</v>
      </c>
      <c r="R1147" s="327" t="s">
        <v>515</v>
      </c>
      <c r="S1147" s="133">
        <v>1516</v>
      </c>
      <c r="T1147" s="327" t="s">
        <v>515</v>
      </c>
      <c r="U1147" s="133">
        <v>1516</v>
      </c>
      <c r="V1147" s="327" t="s">
        <v>515</v>
      </c>
      <c r="W1147" s="133">
        <v>1516</v>
      </c>
      <c r="X1147" s="133" t="s">
        <v>515</v>
      </c>
      <c r="Y1147" s="133">
        <v>1516</v>
      </c>
      <c r="Z1147" s="327" t="s">
        <v>515</v>
      </c>
      <c r="AA1147" s="133">
        <v>1200</v>
      </c>
      <c r="AB1147" s="133" t="s">
        <v>515</v>
      </c>
      <c r="AC1147" s="133">
        <v>0</v>
      </c>
      <c r="AD1147" s="327" t="s">
        <v>515</v>
      </c>
      <c r="AE1147" s="133">
        <v>0</v>
      </c>
      <c r="AF1147" s="133" t="s">
        <v>515</v>
      </c>
      <c r="AG1147" s="133">
        <v>1350</v>
      </c>
      <c r="AH1147" s="327" t="s">
        <v>515</v>
      </c>
      <c r="AI1147" s="133">
        <v>1190</v>
      </c>
      <c r="AJ1147" s="133" t="s">
        <v>515</v>
      </c>
      <c r="AK1147" s="133">
        <v>1110</v>
      </c>
      <c r="AL1147" s="327" t="s">
        <v>515</v>
      </c>
      <c r="AM1147" s="327">
        <f t="shared" si="29"/>
        <v>14134</v>
      </c>
    </row>
    <row r="1148" spans="1:39" ht="18" customHeight="1" x14ac:dyDescent="0.3">
      <c r="A1148" s="425"/>
      <c r="B1148" s="423"/>
      <c r="C1148" s="11" t="s">
        <v>268</v>
      </c>
      <c r="D1148" s="12" t="s">
        <v>247</v>
      </c>
      <c r="E1148" s="31" t="s">
        <v>48</v>
      </c>
      <c r="F1148" s="23" t="s">
        <v>49</v>
      </c>
      <c r="G1148" s="427"/>
      <c r="H1148" s="133"/>
      <c r="I1148" s="158" t="s">
        <v>1738</v>
      </c>
      <c r="J1148" s="133"/>
      <c r="K1148" s="132" t="s">
        <v>218</v>
      </c>
      <c r="L1148" s="132" t="s">
        <v>218</v>
      </c>
      <c r="M1148" s="12">
        <v>13579</v>
      </c>
      <c r="N1148" s="133">
        <v>12180</v>
      </c>
      <c r="O1148" s="372">
        <v>1425</v>
      </c>
      <c r="P1148" s="327" t="s">
        <v>515</v>
      </c>
      <c r="Q1148" s="133">
        <v>1160</v>
      </c>
      <c r="R1148" s="327" t="s">
        <v>515</v>
      </c>
      <c r="S1148" s="133">
        <v>3385</v>
      </c>
      <c r="T1148" s="327" t="s">
        <v>515</v>
      </c>
      <c r="U1148" s="133">
        <v>617</v>
      </c>
      <c r="V1148" s="327" t="s">
        <v>515</v>
      </c>
      <c r="W1148" s="133">
        <v>1149</v>
      </c>
      <c r="X1148" s="133" t="s">
        <v>515</v>
      </c>
      <c r="Y1148" s="133">
        <v>1149</v>
      </c>
      <c r="Z1148" s="327" t="s">
        <v>515</v>
      </c>
      <c r="AA1148" s="133">
        <v>745</v>
      </c>
      <c r="AB1148" s="133" t="s">
        <v>515</v>
      </c>
      <c r="AC1148" s="133">
        <v>0</v>
      </c>
      <c r="AD1148" s="327" t="s">
        <v>515</v>
      </c>
      <c r="AE1148" s="133">
        <v>1511</v>
      </c>
      <c r="AF1148" s="133" t="s">
        <v>515</v>
      </c>
      <c r="AG1148" s="133">
        <v>687</v>
      </c>
      <c r="AH1148" s="327" t="s">
        <v>515</v>
      </c>
      <c r="AI1148" s="133">
        <v>787</v>
      </c>
      <c r="AJ1148" s="133" t="s">
        <v>515</v>
      </c>
      <c r="AK1148" s="133">
        <v>1304</v>
      </c>
      <c r="AL1148" s="327" t="s">
        <v>515</v>
      </c>
      <c r="AM1148" s="327">
        <f t="shared" si="29"/>
        <v>13919</v>
      </c>
    </row>
    <row r="1149" spans="1:39" ht="18" customHeight="1" x14ac:dyDescent="0.3">
      <c r="A1149" s="424">
        <f t="shared" si="30"/>
        <v>756</v>
      </c>
      <c r="B1149" s="422" t="s">
        <v>1599</v>
      </c>
      <c r="C1149" s="11" t="s">
        <v>268</v>
      </c>
      <c r="D1149" s="12" t="s">
        <v>247</v>
      </c>
      <c r="E1149" s="31" t="s">
        <v>144</v>
      </c>
      <c r="F1149" s="23" t="s">
        <v>49</v>
      </c>
      <c r="G1149" s="426" t="s">
        <v>1737</v>
      </c>
      <c r="H1149" s="133">
        <v>186</v>
      </c>
      <c r="I1149" s="158" t="s">
        <v>1738</v>
      </c>
      <c r="J1149" s="133">
        <v>5</v>
      </c>
      <c r="K1149" s="132" t="s">
        <v>218</v>
      </c>
      <c r="L1149" s="132" t="s">
        <v>218</v>
      </c>
      <c r="M1149" s="12">
        <v>21270</v>
      </c>
      <c r="N1149" s="133">
        <v>14210</v>
      </c>
      <c r="O1149" s="372">
        <v>1380</v>
      </c>
      <c r="P1149" s="327" t="s">
        <v>515</v>
      </c>
      <c r="Q1149" s="133">
        <v>1200</v>
      </c>
      <c r="R1149" s="327" t="s">
        <v>515</v>
      </c>
      <c r="S1149" s="133">
        <v>1100</v>
      </c>
      <c r="T1149" s="327" t="s">
        <v>515</v>
      </c>
      <c r="U1149" s="133">
        <v>1450</v>
      </c>
      <c r="V1149" s="327" t="s">
        <v>515</v>
      </c>
      <c r="W1149" s="133">
        <v>1140</v>
      </c>
      <c r="X1149" s="133" t="s">
        <v>515</v>
      </c>
      <c r="Y1149" s="133">
        <v>1260</v>
      </c>
      <c r="Z1149" s="327" t="s">
        <v>515</v>
      </c>
      <c r="AA1149" s="133">
        <v>1010</v>
      </c>
      <c r="AB1149" s="133" t="s">
        <v>515</v>
      </c>
      <c r="AC1149" s="133">
        <v>1130</v>
      </c>
      <c r="AD1149" s="327" t="s">
        <v>515</v>
      </c>
      <c r="AE1149" s="133">
        <v>0</v>
      </c>
      <c r="AF1149" s="133" t="s">
        <v>515</v>
      </c>
      <c r="AG1149" s="133">
        <v>1660</v>
      </c>
      <c r="AH1149" s="327" t="s">
        <v>515</v>
      </c>
      <c r="AI1149" s="133">
        <v>1490</v>
      </c>
      <c r="AJ1149" s="133" t="s">
        <v>515</v>
      </c>
      <c r="AK1149" s="133">
        <v>1390</v>
      </c>
      <c r="AL1149" s="327" t="s">
        <v>515</v>
      </c>
      <c r="AM1149" s="327">
        <f t="shared" si="29"/>
        <v>14210</v>
      </c>
    </row>
    <row r="1150" spans="1:39" ht="18" customHeight="1" x14ac:dyDescent="0.3">
      <c r="A1150" s="425"/>
      <c r="B1150" s="423"/>
      <c r="C1150" s="11" t="s">
        <v>268</v>
      </c>
      <c r="D1150" s="12" t="s">
        <v>247</v>
      </c>
      <c r="E1150" s="31" t="s">
        <v>48</v>
      </c>
      <c r="F1150" s="23" t="s">
        <v>49</v>
      </c>
      <c r="G1150" s="427"/>
      <c r="H1150" s="133"/>
      <c r="I1150" s="158" t="s">
        <v>1738</v>
      </c>
      <c r="J1150" s="133"/>
      <c r="K1150" s="132" t="s">
        <v>218</v>
      </c>
      <c r="L1150" s="132" t="s">
        <v>218</v>
      </c>
      <c r="M1150" s="12">
        <v>21552</v>
      </c>
      <c r="N1150" s="133">
        <v>27239</v>
      </c>
      <c r="O1150" s="372">
        <v>3627</v>
      </c>
      <c r="P1150" s="327" t="s">
        <v>515</v>
      </c>
      <c r="Q1150" s="133">
        <v>2939</v>
      </c>
      <c r="R1150" s="327" t="s">
        <v>515</v>
      </c>
      <c r="S1150" s="133">
        <v>1949</v>
      </c>
      <c r="T1150" s="327" t="s">
        <v>515</v>
      </c>
      <c r="U1150" s="133">
        <v>1369</v>
      </c>
      <c r="V1150" s="327" t="s">
        <v>515</v>
      </c>
      <c r="W1150" s="133">
        <v>1591</v>
      </c>
      <c r="X1150" s="133" t="s">
        <v>515</v>
      </c>
      <c r="Y1150" s="133">
        <v>1486</v>
      </c>
      <c r="Z1150" s="327" t="s">
        <v>515</v>
      </c>
      <c r="AA1150" s="133">
        <v>1159</v>
      </c>
      <c r="AB1150" s="133" t="s">
        <v>515</v>
      </c>
      <c r="AC1150" s="133">
        <v>1387</v>
      </c>
      <c r="AD1150" s="327" t="s">
        <v>515</v>
      </c>
      <c r="AE1150" s="133">
        <v>3055</v>
      </c>
      <c r="AF1150" s="133" t="s">
        <v>515</v>
      </c>
      <c r="AG1150" s="133">
        <v>2379</v>
      </c>
      <c r="AH1150" s="327" t="s">
        <v>515</v>
      </c>
      <c r="AI1150" s="133">
        <v>2711</v>
      </c>
      <c r="AJ1150" s="133" t="s">
        <v>515</v>
      </c>
      <c r="AK1150" s="133">
        <v>2820</v>
      </c>
      <c r="AL1150" s="327" t="s">
        <v>515</v>
      </c>
      <c r="AM1150" s="327">
        <f t="shared" si="29"/>
        <v>26472</v>
      </c>
    </row>
    <row r="1151" spans="1:39" ht="18" customHeight="1" x14ac:dyDescent="0.3">
      <c r="A1151" s="424">
        <f t="shared" si="30"/>
        <v>757</v>
      </c>
      <c r="B1151" s="422" t="s">
        <v>1600</v>
      </c>
      <c r="C1151" s="11" t="s">
        <v>268</v>
      </c>
      <c r="D1151" s="12" t="s">
        <v>247</v>
      </c>
      <c r="E1151" s="31" t="s">
        <v>144</v>
      </c>
      <c r="F1151" s="23" t="s">
        <v>49</v>
      </c>
      <c r="G1151" s="426" t="s">
        <v>1737</v>
      </c>
      <c r="H1151" s="133">
        <v>138</v>
      </c>
      <c r="I1151" s="158" t="s">
        <v>1738</v>
      </c>
      <c r="J1151" s="133">
        <v>5</v>
      </c>
      <c r="K1151" s="132" t="s">
        <v>218</v>
      </c>
      <c r="L1151" s="132" t="s">
        <v>218</v>
      </c>
      <c r="M1151" s="12">
        <v>30240</v>
      </c>
      <c r="N1151" s="133">
        <v>27860</v>
      </c>
      <c r="O1151" s="372">
        <v>2580</v>
      </c>
      <c r="P1151" s="327" t="s">
        <v>515</v>
      </c>
      <c r="Q1151" s="133">
        <v>2790</v>
      </c>
      <c r="R1151" s="327" t="s">
        <v>515</v>
      </c>
      <c r="S1151" s="133">
        <v>2330</v>
      </c>
      <c r="T1151" s="327" t="s">
        <v>515</v>
      </c>
      <c r="U1151" s="133">
        <v>2480</v>
      </c>
      <c r="V1151" s="327" t="s">
        <v>515</v>
      </c>
      <c r="W1151" s="133">
        <v>3030</v>
      </c>
      <c r="X1151" s="133" t="s">
        <v>515</v>
      </c>
      <c r="Y1151" s="133">
        <v>2310</v>
      </c>
      <c r="Z1151" s="327" t="s">
        <v>515</v>
      </c>
      <c r="AA1151" s="133">
        <v>2690</v>
      </c>
      <c r="AB1151" s="133" t="s">
        <v>515</v>
      </c>
      <c r="AC1151" s="133">
        <v>2360</v>
      </c>
      <c r="AD1151" s="327" t="s">
        <v>515</v>
      </c>
      <c r="AE1151" s="133">
        <v>0</v>
      </c>
      <c r="AF1151" s="133" t="s">
        <v>515</v>
      </c>
      <c r="AG1151" s="133">
        <v>2380</v>
      </c>
      <c r="AH1151" s="327" t="s">
        <v>515</v>
      </c>
      <c r="AI1151" s="133">
        <v>2520</v>
      </c>
      <c r="AJ1151" s="133" t="s">
        <v>515</v>
      </c>
      <c r="AK1151" s="133">
        <v>390</v>
      </c>
      <c r="AL1151" s="327" t="s">
        <v>515</v>
      </c>
      <c r="AM1151" s="327">
        <f t="shared" si="29"/>
        <v>25860</v>
      </c>
    </row>
    <row r="1152" spans="1:39" ht="18" customHeight="1" x14ac:dyDescent="0.3">
      <c r="A1152" s="425"/>
      <c r="B1152" s="423"/>
      <c r="C1152" s="11" t="s">
        <v>268</v>
      </c>
      <c r="D1152" s="12" t="s">
        <v>247</v>
      </c>
      <c r="E1152" s="31" t="s">
        <v>48</v>
      </c>
      <c r="F1152" s="23" t="s">
        <v>49</v>
      </c>
      <c r="G1152" s="427"/>
      <c r="H1152" s="133"/>
      <c r="I1152" s="158" t="s">
        <v>1738</v>
      </c>
      <c r="J1152" s="133"/>
      <c r="K1152" s="132" t="s">
        <v>218</v>
      </c>
      <c r="L1152" s="132" t="s">
        <v>218</v>
      </c>
      <c r="M1152" s="12">
        <v>21274</v>
      </c>
      <c r="N1152" s="133">
        <v>21271</v>
      </c>
      <c r="O1152" s="372">
        <v>2565</v>
      </c>
      <c r="P1152" s="327" t="s">
        <v>515</v>
      </c>
      <c r="Q1152" s="133">
        <v>1339</v>
      </c>
      <c r="R1152" s="327" t="s">
        <v>515</v>
      </c>
      <c r="S1152" s="133">
        <v>616</v>
      </c>
      <c r="T1152" s="327" t="s">
        <v>515</v>
      </c>
      <c r="U1152" s="133">
        <v>283</v>
      </c>
      <c r="V1152" s="327" t="s">
        <v>515</v>
      </c>
      <c r="W1152" s="133">
        <v>1236</v>
      </c>
      <c r="X1152" s="133" t="s">
        <v>515</v>
      </c>
      <c r="Y1152" s="133">
        <v>773</v>
      </c>
      <c r="Z1152" s="327" t="s">
        <v>515</v>
      </c>
      <c r="AA1152" s="133">
        <v>871</v>
      </c>
      <c r="AB1152" s="133" t="s">
        <v>515</v>
      </c>
      <c r="AC1152" s="133">
        <v>719</v>
      </c>
      <c r="AD1152" s="327" t="s">
        <v>515</v>
      </c>
      <c r="AE1152" s="133">
        <v>4055</v>
      </c>
      <c r="AF1152" s="133" t="s">
        <v>515</v>
      </c>
      <c r="AG1152" s="133">
        <v>1561</v>
      </c>
      <c r="AH1152" s="327" t="s">
        <v>515</v>
      </c>
      <c r="AI1152" s="133">
        <v>1963</v>
      </c>
      <c r="AJ1152" s="133" t="s">
        <v>515</v>
      </c>
      <c r="AK1152" s="133">
        <v>2172</v>
      </c>
      <c r="AL1152" s="327" t="s">
        <v>515</v>
      </c>
      <c r="AM1152" s="327">
        <f t="shared" si="29"/>
        <v>18153</v>
      </c>
    </row>
    <row r="1153" spans="1:39" ht="18" customHeight="1" x14ac:dyDescent="0.3">
      <c r="A1153" s="424">
        <f t="shared" si="30"/>
        <v>758</v>
      </c>
      <c r="B1153" s="422" t="s">
        <v>1601</v>
      </c>
      <c r="C1153" s="11" t="s">
        <v>268</v>
      </c>
      <c r="D1153" s="12" t="s">
        <v>247</v>
      </c>
      <c r="E1153" s="31" t="s">
        <v>144</v>
      </c>
      <c r="F1153" s="23" t="s">
        <v>49</v>
      </c>
      <c r="G1153" s="426" t="s">
        <v>1737</v>
      </c>
      <c r="H1153" s="133">
        <v>186</v>
      </c>
      <c r="I1153" s="158" t="s">
        <v>1738</v>
      </c>
      <c r="J1153" s="133">
        <v>6</v>
      </c>
      <c r="K1153" s="132" t="s">
        <v>218</v>
      </c>
      <c r="L1153" s="132" t="s">
        <v>218</v>
      </c>
      <c r="M1153" s="12">
        <v>20110</v>
      </c>
      <c r="N1153" s="133">
        <v>18450</v>
      </c>
      <c r="O1153" s="372">
        <v>1780</v>
      </c>
      <c r="P1153" s="327" t="s">
        <v>515</v>
      </c>
      <c r="Q1153" s="133">
        <v>1910</v>
      </c>
      <c r="R1153" s="327" t="s">
        <v>515</v>
      </c>
      <c r="S1153" s="133">
        <v>1580</v>
      </c>
      <c r="T1153" s="327" t="s">
        <v>515</v>
      </c>
      <c r="U1153" s="133">
        <v>1690</v>
      </c>
      <c r="V1153" s="327" t="s">
        <v>515</v>
      </c>
      <c r="W1153" s="133">
        <v>2020</v>
      </c>
      <c r="X1153" s="133" t="s">
        <v>515</v>
      </c>
      <c r="Y1153" s="133">
        <v>1480</v>
      </c>
      <c r="Z1153" s="327" t="s">
        <v>515</v>
      </c>
      <c r="AA1153" s="133">
        <v>1620</v>
      </c>
      <c r="AB1153" s="133" t="s">
        <v>515</v>
      </c>
      <c r="AC1153" s="133">
        <v>1410</v>
      </c>
      <c r="AD1153" s="327" t="s">
        <v>515</v>
      </c>
      <c r="AE1153" s="133">
        <v>0</v>
      </c>
      <c r="AF1153" s="133" t="s">
        <v>515</v>
      </c>
      <c r="AG1153" s="133">
        <v>1550</v>
      </c>
      <c r="AH1153" s="327" t="s">
        <v>515</v>
      </c>
      <c r="AI1153" s="133">
        <v>1750</v>
      </c>
      <c r="AJ1153" s="133" t="s">
        <v>515</v>
      </c>
      <c r="AK1153" s="133">
        <v>1660</v>
      </c>
      <c r="AL1153" s="327" t="s">
        <v>515</v>
      </c>
      <c r="AM1153" s="327">
        <f t="shared" si="29"/>
        <v>18450</v>
      </c>
    </row>
    <row r="1154" spans="1:39" ht="18" customHeight="1" x14ac:dyDescent="0.3">
      <c r="A1154" s="425"/>
      <c r="B1154" s="423"/>
      <c r="C1154" s="11" t="s">
        <v>268</v>
      </c>
      <c r="D1154" s="12" t="s">
        <v>247</v>
      </c>
      <c r="E1154" s="31" t="s">
        <v>48</v>
      </c>
      <c r="F1154" s="23" t="s">
        <v>49</v>
      </c>
      <c r="G1154" s="427"/>
      <c r="H1154" s="133"/>
      <c r="I1154" s="158" t="s">
        <v>1738</v>
      </c>
      <c r="J1154" s="133"/>
      <c r="K1154" s="132" t="s">
        <v>218</v>
      </c>
      <c r="L1154" s="132" t="s">
        <v>218</v>
      </c>
      <c r="M1154" s="12">
        <v>28145</v>
      </c>
      <c r="N1154" s="133">
        <v>25920</v>
      </c>
      <c r="O1154" s="372">
        <v>3071</v>
      </c>
      <c r="P1154" s="327" t="s">
        <v>515</v>
      </c>
      <c r="Q1154" s="133">
        <v>2678</v>
      </c>
      <c r="R1154" s="327" t="s">
        <v>515</v>
      </c>
      <c r="S1154" s="133">
        <v>1455</v>
      </c>
      <c r="T1154" s="327" t="s">
        <v>515</v>
      </c>
      <c r="U1154" s="133">
        <v>997</v>
      </c>
      <c r="V1154" s="327" t="s">
        <v>515</v>
      </c>
      <c r="W1154" s="133">
        <v>2318</v>
      </c>
      <c r="X1154" s="133" t="s">
        <v>515</v>
      </c>
      <c r="Y1154" s="133">
        <v>1118</v>
      </c>
      <c r="Z1154" s="327" t="s">
        <v>515</v>
      </c>
      <c r="AA1154" s="133">
        <v>1188</v>
      </c>
      <c r="AB1154" s="133" t="s">
        <v>515</v>
      </c>
      <c r="AC1154" s="133">
        <v>1235</v>
      </c>
      <c r="AD1154" s="327" t="s">
        <v>515</v>
      </c>
      <c r="AE1154" s="133">
        <v>3350</v>
      </c>
      <c r="AF1154" s="133" t="s">
        <v>515</v>
      </c>
      <c r="AG1154" s="133">
        <v>1824</v>
      </c>
      <c r="AH1154" s="327" t="s">
        <v>515</v>
      </c>
      <c r="AI1154" s="133">
        <v>2434</v>
      </c>
      <c r="AJ1154" s="133" t="s">
        <v>515</v>
      </c>
      <c r="AK1154" s="133">
        <v>2382</v>
      </c>
      <c r="AL1154" s="327" t="s">
        <v>515</v>
      </c>
      <c r="AM1154" s="327">
        <f t="shared" si="29"/>
        <v>24050</v>
      </c>
    </row>
    <row r="1155" spans="1:39" ht="18" customHeight="1" x14ac:dyDescent="0.3">
      <c r="A1155" s="424">
        <f t="shared" si="30"/>
        <v>759</v>
      </c>
      <c r="B1155" s="422" t="s">
        <v>1602</v>
      </c>
      <c r="C1155" s="11" t="s">
        <v>268</v>
      </c>
      <c r="D1155" s="12" t="s">
        <v>247</v>
      </c>
      <c r="E1155" s="31" t="s">
        <v>144</v>
      </c>
      <c r="F1155" s="23" t="s">
        <v>49</v>
      </c>
      <c r="G1155" s="426" t="s">
        <v>1737</v>
      </c>
      <c r="H1155" s="133">
        <v>188</v>
      </c>
      <c r="I1155" s="158" t="s">
        <v>1738</v>
      </c>
      <c r="J1155" s="133">
        <v>10</v>
      </c>
      <c r="K1155" s="132" t="s">
        <v>218</v>
      </c>
      <c r="L1155" s="132" t="s">
        <v>218</v>
      </c>
      <c r="M1155" s="12">
        <v>22120</v>
      </c>
      <c r="N1155" s="133">
        <v>20780</v>
      </c>
      <c r="O1155" s="372">
        <v>1880</v>
      </c>
      <c r="P1155" s="327" t="s">
        <v>515</v>
      </c>
      <c r="Q1155" s="133">
        <v>1900</v>
      </c>
      <c r="R1155" s="327" t="s">
        <v>515</v>
      </c>
      <c r="S1155" s="133">
        <v>1800</v>
      </c>
      <c r="T1155" s="327" t="s">
        <v>515</v>
      </c>
      <c r="U1155" s="133">
        <v>2280</v>
      </c>
      <c r="V1155" s="327" t="s">
        <v>515</v>
      </c>
      <c r="W1155" s="133">
        <v>1830</v>
      </c>
      <c r="X1155" s="133" t="s">
        <v>515</v>
      </c>
      <c r="Y1155" s="133">
        <v>1860</v>
      </c>
      <c r="Z1155" s="327" t="s">
        <v>515</v>
      </c>
      <c r="AA1155" s="133">
        <v>1850</v>
      </c>
      <c r="AB1155" s="133" t="s">
        <v>515</v>
      </c>
      <c r="AC1155" s="133">
        <v>1580</v>
      </c>
      <c r="AD1155" s="327" t="s">
        <v>515</v>
      </c>
      <c r="AE1155" s="133">
        <v>0</v>
      </c>
      <c r="AF1155" s="133" t="s">
        <v>515</v>
      </c>
      <c r="AG1155" s="133">
        <v>1830</v>
      </c>
      <c r="AH1155" s="327" t="s">
        <v>515</v>
      </c>
      <c r="AI1155" s="133">
        <v>2170</v>
      </c>
      <c r="AJ1155" s="133" t="s">
        <v>515</v>
      </c>
      <c r="AK1155" s="133">
        <v>1800</v>
      </c>
      <c r="AL1155" s="327" t="s">
        <v>515</v>
      </c>
      <c r="AM1155" s="327">
        <f t="shared" si="29"/>
        <v>20780</v>
      </c>
    </row>
    <row r="1156" spans="1:39" ht="18" customHeight="1" x14ac:dyDescent="0.3">
      <c r="A1156" s="425"/>
      <c r="B1156" s="423"/>
      <c r="C1156" s="11" t="s">
        <v>268</v>
      </c>
      <c r="D1156" s="12" t="s">
        <v>247</v>
      </c>
      <c r="E1156" s="31" t="s">
        <v>48</v>
      </c>
      <c r="F1156" s="23" t="s">
        <v>49</v>
      </c>
      <c r="G1156" s="427"/>
      <c r="H1156" s="133"/>
      <c r="I1156" s="158" t="s">
        <v>1738</v>
      </c>
      <c r="J1156" s="133"/>
      <c r="K1156" s="132" t="s">
        <v>218</v>
      </c>
      <c r="L1156" s="132" t="s">
        <v>218</v>
      </c>
      <c r="M1156" s="12">
        <v>13704</v>
      </c>
      <c r="N1156" s="133">
        <v>17356</v>
      </c>
      <c r="O1156" s="372">
        <v>2089</v>
      </c>
      <c r="P1156" s="327" t="s">
        <v>515</v>
      </c>
      <c r="Q1156" s="133">
        <v>2153</v>
      </c>
      <c r="R1156" s="327" t="s">
        <v>515</v>
      </c>
      <c r="S1156" s="133">
        <v>826</v>
      </c>
      <c r="T1156" s="327" t="s">
        <v>515</v>
      </c>
      <c r="U1156" s="133">
        <v>958</v>
      </c>
      <c r="V1156" s="327" t="s">
        <v>515</v>
      </c>
      <c r="W1156" s="133">
        <v>1037</v>
      </c>
      <c r="X1156" s="133" t="s">
        <v>515</v>
      </c>
      <c r="Y1156" s="133">
        <v>723</v>
      </c>
      <c r="Z1156" s="327" t="s">
        <v>515</v>
      </c>
      <c r="AA1156" s="133">
        <v>695</v>
      </c>
      <c r="AB1156" s="133" t="s">
        <v>515</v>
      </c>
      <c r="AC1156" s="133">
        <v>508</v>
      </c>
      <c r="AD1156" s="327" t="s">
        <v>515</v>
      </c>
      <c r="AE1156" s="133">
        <v>2900</v>
      </c>
      <c r="AF1156" s="133" t="s">
        <v>515</v>
      </c>
      <c r="AG1156" s="133">
        <v>1334</v>
      </c>
      <c r="AH1156" s="327" t="s">
        <v>515</v>
      </c>
      <c r="AI1156" s="133">
        <v>1854</v>
      </c>
      <c r="AJ1156" s="133" t="s">
        <v>515</v>
      </c>
      <c r="AK1156" s="133">
        <v>1562</v>
      </c>
      <c r="AL1156" s="327" t="s">
        <v>515</v>
      </c>
      <c r="AM1156" s="327">
        <f t="shared" si="29"/>
        <v>16639</v>
      </c>
    </row>
    <row r="1157" spans="1:39" ht="18" customHeight="1" x14ac:dyDescent="0.3">
      <c r="A1157" s="424">
        <f t="shared" si="30"/>
        <v>760</v>
      </c>
      <c r="B1157" s="422" t="s">
        <v>1603</v>
      </c>
      <c r="C1157" s="11" t="s">
        <v>268</v>
      </c>
      <c r="D1157" s="12" t="s">
        <v>247</v>
      </c>
      <c r="E1157" s="31" t="s">
        <v>144</v>
      </c>
      <c r="F1157" s="23" t="s">
        <v>49</v>
      </c>
      <c r="G1157" s="426" t="s">
        <v>1737</v>
      </c>
      <c r="H1157" s="133">
        <v>188</v>
      </c>
      <c r="I1157" s="158" t="s">
        <v>1738</v>
      </c>
      <c r="J1157" s="133">
        <v>10</v>
      </c>
      <c r="K1157" s="132" t="s">
        <v>218</v>
      </c>
      <c r="L1157" s="132" t="s">
        <v>218</v>
      </c>
      <c r="M1157" s="12">
        <v>28224</v>
      </c>
      <c r="N1157" s="133">
        <v>26037</v>
      </c>
      <c r="O1157" s="372">
        <v>3837</v>
      </c>
      <c r="P1157" s="327" t="s">
        <v>515</v>
      </c>
      <c r="Q1157" s="133">
        <v>2130</v>
      </c>
      <c r="R1157" s="327" t="s">
        <v>515</v>
      </c>
      <c r="S1157" s="133">
        <v>2100</v>
      </c>
      <c r="T1157" s="327" t="s">
        <v>515</v>
      </c>
      <c r="U1157" s="133">
        <v>2685</v>
      </c>
      <c r="V1157" s="327" t="s">
        <v>515</v>
      </c>
      <c r="W1157" s="133">
        <v>2130</v>
      </c>
      <c r="X1157" s="133" t="s">
        <v>515</v>
      </c>
      <c r="Y1157" s="133">
        <v>2205</v>
      </c>
      <c r="Z1157" s="327" t="s">
        <v>515</v>
      </c>
      <c r="AA1157" s="133">
        <v>2190</v>
      </c>
      <c r="AB1157" s="133" t="s">
        <v>515</v>
      </c>
      <c r="AC1157" s="133">
        <v>1860</v>
      </c>
      <c r="AD1157" s="327" t="s">
        <v>515</v>
      </c>
      <c r="AE1157" s="133">
        <v>0</v>
      </c>
      <c r="AF1157" s="133" t="s">
        <v>515</v>
      </c>
      <c r="AG1157" s="133">
        <v>2145</v>
      </c>
      <c r="AH1157" s="327" t="s">
        <v>515</v>
      </c>
      <c r="AI1157" s="133">
        <v>2655</v>
      </c>
      <c r="AJ1157" s="133" t="s">
        <v>515</v>
      </c>
      <c r="AK1157" s="133">
        <v>2100</v>
      </c>
      <c r="AL1157" s="327" t="s">
        <v>515</v>
      </c>
      <c r="AM1157" s="327">
        <f t="shared" si="29"/>
        <v>26037</v>
      </c>
    </row>
    <row r="1158" spans="1:39" ht="18" customHeight="1" x14ac:dyDescent="0.3">
      <c r="A1158" s="425"/>
      <c r="B1158" s="423"/>
      <c r="C1158" s="11" t="s">
        <v>268</v>
      </c>
      <c r="D1158" s="12" t="s">
        <v>247</v>
      </c>
      <c r="E1158" s="31" t="s">
        <v>48</v>
      </c>
      <c r="F1158" s="23" t="s">
        <v>49</v>
      </c>
      <c r="G1158" s="427"/>
      <c r="H1158" s="133"/>
      <c r="I1158" s="158" t="s">
        <v>1738</v>
      </c>
      <c r="J1158" s="133"/>
      <c r="K1158" s="132" t="s">
        <v>218</v>
      </c>
      <c r="L1158" s="132" t="s">
        <v>218</v>
      </c>
      <c r="M1158" s="12">
        <v>28462</v>
      </c>
      <c r="N1158" s="133">
        <v>29059</v>
      </c>
      <c r="O1158" s="372">
        <v>2265</v>
      </c>
      <c r="P1158" s="327" t="s">
        <v>515</v>
      </c>
      <c r="Q1158" s="133">
        <v>3067</v>
      </c>
      <c r="R1158" s="327" t="s">
        <v>515</v>
      </c>
      <c r="S1158" s="133">
        <v>1507</v>
      </c>
      <c r="T1158" s="327" t="s">
        <v>515</v>
      </c>
      <c r="U1158" s="133">
        <v>1833</v>
      </c>
      <c r="V1158" s="327" t="s">
        <v>515</v>
      </c>
      <c r="W1158" s="133">
        <v>1281</v>
      </c>
      <c r="X1158" s="133" t="s">
        <v>515</v>
      </c>
      <c r="Y1158" s="133">
        <v>1290</v>
      </c>
      <c r="Z1158" s="327" t="s">
        <v>515</v>
      </c>
      <c r="AA1158" s="133">
        <v>1270</v>
      </c>
      <c r="AB1158" s="133" t="s">
        <v>515</v>
      </c>
      <c r="AC1158" s="133">
        <v>1147</v>
      </c>
      <c r="AD1158" s="327" t="s">
        <v>515</v>
      </c>
      <c r="AE1158" s="133">
        <v>4064</v>
      </c>
      <c r="AF1158" s="133" t="s">
        <v>515</v>
      </c>
      <c r="AG1158" s="133">
        <v>2338</v>
      </c>
      <c r="AH1158" s="327" t="s">
        <v>515</v>
      </c>
      <c r="AI1158" s="133">
        <v>3355</v>
      </c>
      <c r="AJ1158" s="133" t="s">
        <v>515</v>
      </c>
      <c r="AK1158" s="133">
        <v>3020</v>
      </c>
      <c r="AL1158" s="327" t="s">
        <v>515</v>
      </c>
      <c r="AM1158" s="327">
        <f t="shared" si="29"/>
        <v>26437</v>
      </c>
    </row>
    <row r="1159" spans="1:39" ht="18" customHeight="1" x14ac:dyDescent="0.3">
      <c r="A1159" s="424">
        <f t="shared" si="30"/>
        <v>761</v>
      </c>
      <c r="B1159" s="422" t="s">
        <v>1604</v>
      </c>
      <c r="C1159" s="11" t="s">
        <v>268</v>
      </c>
      <c r="D1159" s="12" t="s">
        <v>247</v>
      </c>
      <c r="E1159" s="31" t="s">
        <v>144</v>
      </c>
      <c r="F1159" s="23" t="s">
        <v>49</v>
      </c>
      <c r="G1159" s="426" t="s">
        <v>1737</v>
      </c>
      <c r="H1159" s="133">
        <v>176</v>
      </c>
      <c r="I1159" s="158" t="s">
        <v>1738</v>
      </c>
      <c r="J1159" s="133">
        <v>4</v>
      </c>
      <c r="K1159" s="132" t="s">
        <v>218</v>
      </c>
      <c r="L1159" s="132" t="s">
        <v>218</v>
      </c>
      <c r="M1159" s="12">
        <v>11670</v>
      </c>
      <c r="N1159" s="133">
        <v>20583</v>
      </c>
      <c r="O1159" s="372">
        <v>2470</v>
      </c>
      <c r="P1159" s="327" t="s">
        <v>515</v>
      </c>
      <c r="Q1159" s="133">
        <v>2240</v>
      </c>
      <c r="R1159" s="327" t="s">
        <v>515</v>
      </c>
      <c r="S1159" s="133">
        <v>3590</v>
      </c>
      <c r="T1159" s="327" t="s">
        <v>515</v>
      </c>
      <c r="U1159" s="133">
        <v>1840</v>
      </c>
      <c r="V1159" s="327" t="s">
        <v>515</v>
      </c>
      <c r="W1159" s="133">
        <v>2556</v>
      </c>
      <c r="X1159" s="133" t="s">
        <v>515</v>
      </c>
      <c r="Y1159" s="133">
        <v>1187</v>
      </c>
      <c r="Z1159" s="327" t="s">
        <v>515</v>
      </c>
      <c r="AA1159" s="133">
        <v>1370</v>
      </c>
      <c r="AB1159" s="133" t="s">
        <v>515</v>
      </c>
      <c r="AC1159" s="133">
        <v>1400</v>
      </c>
      <c r="AD1159" s="327" t="s">
        <v>515</v>
      </c>
      <c r="AE1159" s="133">
        <v>0</v>
      </c>
      <c r="AF1159" s="133" t="s">
        <v>515</v>
      </c>
      <c r="AG1159" s="133">
        <v>1400</v>
      </c>
      <c r="AH1159" s="327" t="s">
        <v>515</v>
      </c>
      <c r="AI1159" s="133">
        <v>1270</v>
      </c>
      <c r="AJ1159" s="133" t="s">
        <v>515</v>
      </c>
      <c r="AK1159" s="133">
        <v>1260</v>
      </c>
      <c r="AL1159" s="327" t="s">
        <v>515</v>
      </c>
      <c r="AM1159" s="327">
        <f t="shared" si="29"/>
        <v>20583</v>
      </c>
    </row>
    <row r="1160" spans="1:39" ht="18" customHeight="1" x14ac:dyDescent="0.3">
      <c r="A1160" s="425"/>
      <c r="B1160" s="423"/>
      <c r="C1160" s="11" t="s">
        <v>268</v>
      </c>
      <c r="D1160" s="12" t="s">
        <v>247</v>
      </c>
      <c r="E1160" s="31" t="s">
        <v>48</v>
      </c>
      <c r="F1160" s="23" t="s">
        <v>49</v>
      </c>
      <c r="G1160" s="427"/>
      <c r="H1160" s="133"/>
      <c r="I1160" s="158" t="s">
        <v>1738</v>
      </c>
      <c r="J1160" s="133"/>
      <c r="K1160" s="132" t="s">
        <v>218</v>
      </c>
      <c r="L1160" s="132" t="s">
        <v>218</v>
      </c>
      <c r="M1160" s="12">
        <v>12476</v>
      </c>
      <c r="N1160" s="133">
        <v>12914</v>
      </c>
      <c r="O1160" s="372">
        <v>1248</v>
      </c>
      <c r="P1160" s="327" t="s">
        <v>515</v>
      </c>
      <c r="Q1160" s="133">
        <v>2335</v>
      </c>
      <c r="R1160" s="327" t="s">
        <v>515</v>
      </c>
      <c r="S1160" s="133">
        <v>-1702</v>
      </c>
      <c r="T1160" s="327" t="s">
        <v>515</v>
      </c>
      <c r="U1160" s="133">
        <v>106</v>
      </c>
      <c r="V1160" s="327" t="s">
        <v>515</v>
      </c>
      <c r="W1160" s="133">
        <v>828</v>
      </c>
      <c r="X1160" s="133" t="s">
        <v>515</v>
      </c>
      <c r="Y1160" s="133">
        <v>931</v>
      </c>
      <c r="Z1160" s="327" t="s">
        <v>515</v>
      </c>
      <c r="AA1160" s="133">
        <v>785</v>
      </c>
      <c r="AB1160" s="133" t="s">
        <v>515</v>
      </c>
      <c r="AC1160" s="133">
        <v>753</v>
      </c>
      <c r="AD1160" s="327" t="s">
        <v>515</v>
      </c>
      <c r="AE1160" s="133">
        <v>1984</v>
      </c>
      <c r="AF1160" s="133" t="s">
        <v>515</v>
      </c>
      <c r="AG1160" s="133">
        <v>1088</v>
      </c>
      <c r="AH1160" s="327" t="s">
        <v>515</v>
      </c>
      <c r="AI1160" s="133">
        <v>1116</v>
      </c>
      <c r="AJ1160" s="133" t="s">
        <v>515</v>
      </c>
      <c r="AK1160" s="133">
        <v>1199</v>
      </c>
      <c r="AL1160" s="327" t="s">
        <v>515</v>
      </c>
      <c r="AM1160" s="327">
        <f t="shared" si="29"/>
        <v>10671</v>
      </c>
    </row>
    <row r="1161" spans="1:39" ht="18" customHeight="1" x14ac:dyDescent="0.3">
      <c r="A1161" s="424">
        <f t="shared" si="30"/>
        <v>762</v>
      </c>
      <c r="B1161" s="422" t="s">
        <v>1605</v>
      </c>
      <c r="C1161" s="11" t="s">
        <v>268</v>
      </c>
      <c r="D1161" s="12" t="s">
        <v>247</v>
      </c>
      <c r="E1161" s="31" t="s">
        <v>144</v>
      </c>
      <c r="F1161" s="23" t="s">
        <v>49</v>
      </c>
      <c r="G1161" s="428" t="s">
        <v>336</v>
      </c>
      <c r="H1161" s="133">
        <v>580</v>
      </c>
      <c r="I1161" s="158" t="s">
        <v>1738</v>
      </c>
      <c r="J1161" s="133">
        <v>14</v>
      </c>
      <c r="K1161" s="132" t="s">
        <v>218</v>
      </c>
      <c r="L1161" s="132" t="s">
        <v>218</v>
      </c>
      <c r="M1161" s="12">
        <v>154916</v>
      </c>
      <c r="N1161" s="133">
        <v>149125</v>
      </c>
      <c r="O1161" s="372">
        <v>14250</v>
      </c>
      <c r="P1161" s="327" t="s">
        <v>515</v>
      </c>
      <c r="Q1161" s="133">
        <v>13682</v>
      </c>
      <c r="R1161" s="327" t="s">
        <v>515</v>
      </c>
      <c r="S1161" s="133">
        <v>13195</v>
      </c>
      <c r="T1161" s="327" t="s">
        <v>515</v>
      </c>
      <c r="U1161" s="133">
        <v>15794</v>
      </c>
      <c r="V1161" s="327" t="s">
        <v>515</v>
      </c>
      <c r="W1161" s="133">
        <v>12018</v>
      </c>
      <c r="X1161" s="133" t="s">
        <v>515</v>
      </c>
      <c r="Y1161" s="133">
        <v>14007</v>
      </c>
      <c r="Z1161" s="327" t="s">
        <v>515</v>
      </c>
      <c r="AA1161" s="133">
        <v>13277</v>
      </c>
      <c r="AB1161" s="133" t="s">
        <v>515</v>
      </c>
      <c r="AC1161" s="133">
        <v>11369</v>
      </c>
      <c r="AD1161" s="327" t="s">
        <v>515</v>
      </c>
      <c r="AE1161" s="133">
        <v>0</v>
      </c>
      <c r="AF1161" s="133" t="s">
        <v>515</v>
      </c>
      <c r="AG1161" s="133">
        <v>14372</v>
      </c>
      <c r="AH1161" s="327" t="s">
        <v>515</v>
      </c>
      <c r="AI1161" s="133">
        <v>14860</v>
      </c>
      <c r="AJ1161" s="133" t="s">
        <v>515</v>
      </c>
      <c r="AK1161" s="133">
        <v>12301</v>
      </c>
      <c r="AL1161" s="327" t="s">
        <v>515</v>
      </c>
      <c r="AM1161" s="327">
        <f t="shared" si="29"/>
        <v>149125</v>
      </c>
    </row>
    <row r="1162" spans="1:39" ht="18" customHeight="1" x14ac:dyDescent="0.3">
      <c r="A1162" s="425"/>
      <c r="B1162" s="423"/>
      <c r="C1162" s="11" t="s">
        <v>268</v>
      </c>
      <c r="D1162" s="12" t="s">
        <v>247</v>
      </c>
      <c r="E1162" s="31" t="s">
        <v>48</v>
      </c>
      <c r="F1162" s="23" t="s">
        <v>49</v>
      </c>
      <c r="G1162" s="429"/>
      <c r="H1162" s="133"/>
      <c r="I1162" s="158" t="s">
        <v>1738</v>
      </c>
      <c r="J1162" s="133"/>
      <c r="K1162" s="132" t="s">
        <v>218</v>
      </c>
      <c r="L1162" s="132" t="s">
        <v>218</v>
      </c>
      <c r="M1162" s="12">
        <v>105817</v>
      </c>
      <c r="N1162" s="133">
        <v>105934</v>
      </c>
      <c r="O1162" s="372">
        <v>9007</v>
      </c>
      <c r="P1162" s="327" t="s">
        <v>515</v>
      </c>
      <c r="Q1162" s="133">
        <v>11774</v>
      </c>
      <c r="R1162" s="327" t="s">
        <v>515</v>
      </c>
      <c r="S1162" s="133">
        <v>7238</v>
      </c>
      <c r="T1162" s="327" t="s">
        <v>515</v>
      </c>
      <c r="U1162" s="133">
        <v>4127</v>
      </c>
      <c r="V1162" s="327" t="s">
        <v>515</v>
      </c>
      <c r="W1162" s="133">
        <v>6935</v>
      </c>
      <c r="X1162" s="133" t="s">
        <v>515</v>
      </c>
      <c r="Y1162" s="133">
        <v>7593</v>
      </c>
      <c r="Z1162" s="327" t="s">
        <v>515</v>
      </c>
      <c r="AA1162" s="133">
        <v>7322</v>
      </c>
      <c r="AB1162" s="133" t="s">
        <v>515</v>
      </c>
      <c r="AC1162" s="133">
        <v>6221</v>
      </c>
      <c r="AD1162" s="327" t="s">
        <v>515</v>
      </c>
      <c r="AE1162" s="133">
        <v>20628</v>
      </c>
      <c r="AF1162" s="133" t="s">
        <v>515</v>
      </c>
      <c r="AG1162" s="133">
        <v>8535</v>
      </c>
      <c r="AH1162" s="327" t="s">
        <v>515</v>
      </c>
      <c r="AI1162" s="133">
        <v>8021</v>
      </c>
      <c r="AJ1162" s="133" t="s">
        <v>515</v>
      </c>
      <c r="AK1162" s="133">
        <v>6780</v>
      </c>
      <c r="AL1162" s="327" t="s">
        <v>515</v>
      </c>
      <c r="AM1162" s="327">
        <f t="shared" si="29"/>
        <v>104181</v>
      </c>
    </row>
    <row r="1163" spans="1:39" ht="18" customHeight="1" x14ac:dyDescent="0.3">
      <c r="A1163" s="424">
        <f t="shared" si="30"/>
        <v>763</v>
      </c>
      <c r="B1163" s="422" t="s">
        <v>1606</v>
      </c>
      <c r="C1163" s="11" t="s">
        <v>268</v>
      </c>
      <c r="D1163" s="12" t="s">
        <v>247</v>
      </c>
      <c r="E1163" s="31" t="s">
        <v>144</v>
      </c>
      <c r="F1163" s="23" t="s">
        <v>49</v>
      </c>
      <c r="G1163" s="426" t="s">
        <v>1737</v>
      </c>
      <c r="H1163" s="133">
        <v>136</v>
      </c>
      <c r="I1163" s="158" t="s">
        <v>1738</v>
      </c>
      <c r="J1163" s="133">
        <v>5</v>
      </c>
      <c r="K1163" s="132" t="s">
        <v>218</v>
      </c>
      <c r="L1163" s="132" t="s">
        <v>218</v>
      </c>
      <c r="M1163" s="12">
        <v>14480</v>
      </c>
      <c r="N1163" s="133">
        <v>13343</v>
      </c>
      <c r="O1163" s="372">
        <v>1250</v>
      </c>
      <c r="P1163" s="327" t="s">
        <v>515</v>
      </c>
      <c r="Q1163" s="133">
        <v>1280</v>
      </c>
      <c r="R1163" s="327" t="s">
        <v>515</v>
      </c>
      <c r="S1163" s="133">
        <v>1190</v>
      </c>
      <c r="T1163" s="327" t="s">
        <v>515</v>
      </c>
      <c r="U1163" s="133">
        <v>1480</v>
      </c>
      <c r="V1163" s="327" t="s">
        <v>515</v>
      </c>
      <c r="W1163" s="133">
        <v>903</v>
      </c>
      <c r="X1163" s="133" t="s">
        <v>515</v>
      </c>
      <c r="Y1163" s="133">
        <v>1210</v>
      </c>
      <c r="Z1163" s="327" t="s">
        <v>515</v>
      </c>
      <c r="AA1163" s="133">
        <v>1220</v>
      </c>
      <c r="AB1163" s="133" t="s">
        <v>515</v>
      </c>
      <c r="AC1163" s="133">
        <v>1030</v>
      </c>
      <c r="AD1163" s="327" t="s">
        <v>515</v>
      </c>
      <c r="AE1163" s="133">
        <v>0</v>
      </c>
      <c r="AF1163" s="133" t="s">
        <v>515</v>
      </c>
      <c r="AG1163" s="133">
        <v>1180</v>
      </c>
      <c r="AH1163" s="327" t="s">
        <v>515</v>
      </c>
      <c r="AI1163" s="133">
        <v>1330</v>
      </c>
      <c r="AJ1163" s="133" t="s">
        <v>515</v>
      </c>
      <c r="AK1163" s="133">
        <v>1270</v>
      </c>
      <c r="AL1163" s="327" t="s">
        <v>515</v>
      </c>
      <c r="AM1163" s="327">
        <f t="shared" si="29"/>
        <v>13343</v>
      </c>
    </row>
    <row r="1164" spans="1:39" ht="18" customHeight="1" x14ac:dyDescent="0.3">
      <c r="A1164" s="425"/>
      <c r="B1164" s="423"/>
      <c r="C1164" s="11" t="s">
        <v>268</v>
      </c>
      <c r="D1164" s="12" t="s">
        <v>247</v>
      </c>
      <c r="E1164" s="31" t="s">
        <v>48</v>
      </c>
      <c r="F1164" s="23" t="s">
        <v>49</v>
      </c>
      <c r="G1164" s="427"/>
      <c r="H1164" s="133"/>
      <c r="I1164" s="158" t="s">
        <v>1738</v>
      </c>
      <c r="J1164" s="133"/>
      <c r="K1164" s="132" t="s">
        <v>218</v>
      </c>
      <c r="L1164" s="132" t="s">
        <v>218</v>
      </c>
      <c r="M1164" s="12">
        <v>13834</v>
      </c>
      <c r="N1164" s="133">
        <v>17637</v>
      </c>
      <c r="O1164" s="372">
        <v>1498</v>
      </c>
      <c r="P1164" s="327" t="s">
        <v>515</v>
      </c>
      <c r="Q1164" s="133">
        <v>2220</v>
      </c>
      <c r="R1164" s="327" t="s">
        <v>515</v>
      </c>
      <c r="S1164" s="133">
        <v>910</v>
      </c>
      <c r="T1164" s="327" t="s">
        <v>515</v>
      </c>
      <c r="U1164" s="133">
        <v>1201</v>
      </c>
      <c r="V1164" s="327" t="s">
        <v>515</v>
      </c>
      <c r="W1164" s="133">
        <v>1180</v>
      </c>
      <c r="X1164" s="133" t="s">
        <v>515</v>
      </c>
      <c r="Y1164" s="133">
        <v>950</v>
      </c>
      <c r="Z1164" s="327" t="s">
        <v>515</v>
      </c>
      <c r="AA1164" s="133">
        <v>985</v>
      </c>
      <c r="AB1164" s="133" t="s">
        <v>515</v>
      </c>
      <c r="AC1164" s="133">
        <v>882</v>
      </c>
      <c r="AD1164" s="327" t="s">
        <v>515</v>
      </c>
      <c r="AE1164" s="133">
        <v>2483</v>
      </c>
      <c r="AF1164" s="133" t="s">
        <v>515</v>
      </c>
      <c r="AG1164" s="133">
        <v>1503</v>
      </c>
      <c r="AH1164" s="327" t="s">
        <v>515</v>
      </c>
      <c r="AI1164" s="133">
        <v>1596</v>
      </c>
      <c r="AJ1164" s="133" t="s">
        <v>515</v>
      </c>
      <c r="AK1164" s="133">
        <v>1639</v>
      </c>
      <c r="AL1164" s="327" t="s">
        <v>515</v>
      </c>
      <c r="AM1164" s="327">
        <f t="shared" si="29"/>
        <v>17047</v>
      </c>
    </row>
    <row r="1165" spans="1:39" ht="18" customHeight="1" x14ac:dyDescent="0.3">
      <c r="A1165" s="424">
        <f t="shared" si="30"/>
        <v>764</v>
      </c>
      <c r="B1165" s="422" t="s">
        <v>1607</v>
      </c>
      <c r="C1165" s="11" t="s">
        <v>268</v>
      </c>
      <c r="D1165" s="12" t="s">
        <v>247</v>
      </c>
      <c r="E1165" s="31" t="s">
        <v>144</v>
      </c>
      <c r="F1165" s="23" t="s">
        <v>49</v>
      </c>
      <c r="G1165" s="426" t="s">
        <v>1737</v>
      </c>
      <c r="H1165" s="133">
        <v>302</v>
      </c>
      <c r="I1165" s="158" t="s">
        <v>1738</v>
      </c>
      <c r="J1165" s="133">
        <v>12</v>
      </c>
      <c r="K1165" s="132" t="s">
        <v>218</v>
      </c>
      <c r="L1165" s="132" t="s">
        <v>218</v>
      </c>
      <c r="M1165" s="12">
        <v>32853</v>
      </c>
      <c r="N1165" s="133">
        <v>30829</v>
      </c>
      <c r="O1165" s="372">
        <v>2974</v>
      </c>
      <c r="P1165" s="327" t="s">
        <v>515</v>
      </c>
      <c r="Q1165" s="133">
        <v>2916</v>
      </c>
      <c r="R1165" s="327" t="s">
        <v>515</v>
      </c>
      <c r="S1165" s="133">
        <v>2735</v>
      </c>
      <c r="T1165" s="327" t="s">
        <v>515</v>
      </c>
      <c r="U1165" s="133">
        <v>3524</v>
      </c>
      <c r="V1165" s="327" t="s">
        <v>515</v>
      </c>
      <c r="W1165" s="133">
        <v>2719</v>
      </c>
      <c r="X1165" s="133" t="s">
        <v>515</v>
      </c>
      <c r="Y1165" s="133">
        <v>2756</v>
      </c>
      <c r="Z1165" s="327" t="s">
        <v>515</v>
      </c>
      <c r="AA1165" s="133">
        <v>2696</v>
      </c>
      <c r="AB1165" s="133" t="s">
        <v>515</v>
      </c>
      <c r="AC1165" s="133">
        <v>2230</v>
      </c>
      <c r="AD1165" s="327" t="s">
        <v>515</v>
      </c>
      <c r="AE1165" s="133">
        <v>0</v>
      </c>
      <c r="AF1165" s="133" t="s">
        <v>515</v>
      </c>
      <c r="AG1165" s="133">
        <v>2631</v>
      </c>
      <c r="AH1165" s="327" t="s">
        <v>515</v>
      </c>
      <c r="AI1165" s="133">
        <v>3006</v>
      </c>
      <c r="AJ1165" s="133" t="s">
        <v>515</v>
      </c>
      <c r="AK1165" s="133">
        <v>2642</v>
      </c>
      <c r="AL1165" s="327" t="s">
        <v>515</v>
      </c>
      <c r="AM1165" s="327">
        <f t="shared" si="29"/>
        <v>30829</v>
      </c>
    </row>
    <row r="1166" spans="1:39" ht="18" customHeight="1" x14ac:dyDescent="0.3">
      <c r="A1166" s="425"/>
      <c r="B1166" s="423"/>
      <c r="C1166" s="11" t="s">
        <v>268</v>
      </c>
      <c r="D1166" s="12" t="s">
        <v>247</v>
      </c>
      <c r="E1166" s="31" t="s">
        <v>48</v>
      </c>
      <c r="F1166" s="23" t="s">
        <v>49</v>
      </c>
      <c r="G1166" s="427"/>
      <c r="H1166" s="133"/>
      <c r="I1166" s="158" t="s">
        <v>1738</v>
      </c>
      <c r="J1166" s="133"/>
      <c r="K1166" s="132" t="s">
        <v>218</v>
      </c>
      <c r="L1166" s="132" t="s">
        <v>218</v>
      </c>
      <c r="M1166" s="12">
        <v>48302</v>
      </c>
      <c r="N1166" s="133">
        <v>52826</v>
      </c>
      <c r="O1166" s="372">
        <v>6510</v>
      </c>
      <c r="P1166" s="327" t="s">
        <v>515</v>
      </c>
      <c r="Q1166" s="133">
        <v>4974</v>
      </c>
      <c r="R1166" s="327" t="s">
        <v>515</v>
      </c>
      <c r="S1166" s="133">
        <v>2265</v>
      </c>
      <c r="T1166" s="327" t="s">
        <v>515</v>
      </c>
      <c r="U1166" s="133">
        <v>2470</v>
      </c>
      <c r="V1166" s="327" t="s">
        <v>515</v>
      </c>
      <c r="W1166" s="133">
        <v>2859</v>
      </c>
      <c r="X1166" s="133" t="s">
        <v>515</v>
      </c>
      <c r="Y1166" s="133">
        <v>2620</v>
      </c>
      <c r="Z1166" s="327" t="s">
        <v>515</v>
      </c>
      <c r="AA1166" s="133">
        <v>2438</v>
      </c>
      <c r="AB1166" s="133" t="s">
        <v>515</v>
      </c>
      <c r="AC1166" s="133">
        <v>2542</v>
      </c>
      <c r="AD1166" s="327" t="s">
        <v>515</v>
      </c>
      <c r="AE1166" s="133">
        <v>6423</v>
      </c>
      <c r="AF1166" s="133" t="s">
        <v>515</v>
      </c>
      <c r="AG1166" s="133">
        <v>3665</v>
      </c>
      <c r="AH1166" s="327" t="s">
        <v>515</v>
      </c>
      <c r="AI1166" s="133">
        <v>5297</v>
      </c>
      <c r="AJ1166" s="133" t="s">
        <v>515</v>
      </c>
      <c r="AK1166" s="133">
        <v>4823</v>
      </c>
      <c r="AL1166" s="327" t="s">
        <v>515</v>
      </c>
      <c r="AM1166" s="327">
        <f t="shared" si="29"/>
        <v>46886</v>
      </c>
    </row>
    <row r="1167" spans="1:39" ht="18" customHeight="1" x14ac:dyDescent="0.3">
      <c r="A1167" s="424">
        <f t="shared" si="30"/>
        <v>765</v>
      </c>
      <c r="B1167" s="422" t="s">
        <v>1608</v>
      </c>
      <c r="C1167" s="11" t="s">
        <v>268</v>
      </c>
      <c r="D1167" s="12" t="s">
        <v>247</v>
      </c>
      <c r="E1167" s="31" t="s">
        <v>144</v>
      </c>
      <c r="F1167" s="23" t="s">
        <v>49</v>
      </c>
      <c r="G1167" s="426" t="s">
        <v>1737</v>
      </c>
      <c r="H1167" s="133">
        <v>156</v>
      </c>
      <c r="I1167" s="158" t="s">
        <v>1738</v>
      </c>
      <c r="J1167" s="133">
        <v>6</v>
      </c>
      <c r="K1167" s="132" t="s">
        <v>218</v>
      </c>
      <c r="L1167" s="132" t="s">
        <v>218</v>
      </c>
      <c r="M1167" s="12">
        <v>6307</v>
      </c>
      <c r="N1167" s="133">
        <v>5612</v>
      </c>
      <c r="O1167" s="372">
        <v>0</v>
      </c>
      <c r="P1167" s="327" t="s">
        <v>515</v>
      </c>
      <c r="Q1167" s="133">
        <v>499</v>
      </c>
      <c r="R1167" s="327" t="s">
        <v>515</v>
      </c>
      <c r="S1167" s="133">
        <v>507</v>
      </c>
      <c r="T1167" s="327" t="s">
        <v>515</v>
      </c>
      <c r="U1167" s="133">
        <v>633</v>
      </c>
      <c r="V1167" s="327" t="s">
        <v>515</v>
      </c>
      <c r="W1167" s="133">
        <v>929</v>
      </c>
      <c r="X1167" s="133" t="s">
        <v>515</v>
      </c>
      <c r="Y1167" s="133">
        <v>442</v>
      </c>
      <c r="Z1167" s="327" t="s">
        <v>515</v>
      </c>
      <c r="AA1167" s="133">
        <v>175</v>
      </c>
      <c r="AB1167" s="133" t="s">
        <v>515</v>
      </c>
      <c r="AC1167" s="133">
        <v>828</v>
      </c>
      <c r="AD1167" s="327" t="s">
        <v>515</v>
      </c>
      <c r="AE1167" s="133">
        <v>0</v>
      </c>
      <c r="AF1167" s="133" t="s">
        <v>515</v>
      </c>
      <c r="AG1167" s="133">
        <v>517</v>
      </c>
      <c r="AH1167" s="327" t="s">
        <v>515</v>
      </c>
      <c r="AI1167" s="133">
        <v>610</v>
      </c>
      <c r="AJ1167" s="133" t="s">
        <v>515</v>
      </c>
      <c r="AK1167" s="133">
        <v>472</v>
      </c>
      <c r="AL1167" s="327" t="s">
        <v>515</v>
      </c>
      <c r="AM1167" s="327">
        <f t="shared" si="29"/>
        <v>5612</v>
      </c>
    </row>
    <row r="1168" spans="1:39" ht="18" customHeight="1" x14ac:dyDescent="0.3">
      <c r="A1168" s="425"/>
      <c r="B1168" s="423"/>
      <c r="C1168" s="11" t="s">
        <v>268</v>
      </c>
      <c r="D1168" s="12" t="s">
        <v>247</v>
      </c>
      <c r="E1168" s="31" t="s">
        <v>48</v>
      </c>
      <c r="F1168" s="23" t="s">
        <v>49</v>
      </c>
      <c r="G1168" s="427"/>
      <c r="H1168" s="133"/>
      <c r="I1168" s="158" t="s">
        <v>1738</v>
      </c>
      <c r="J1168" s="133"/>
      <c r="K1168" s="132" t="s">
        <v>218</v>
      </c>
      <c r="L1168" s="132" t="s">
        <v>218</v>
      </c>
      <c r="M1168" s="12">
        <v>23119</v>
      </c>
      <c r="N1168" s="133">
        <v>16751</v>
      </c>
      <c r="O1168" s="372">
        <v>0</v>
      </c>
      <c r="P1168" s="327" t="s">
        <v>515</v>
      </c>
      <c r="Q1168" s="133">
        <v>2540</v>
      </c>
      <c r="R1168" s="327" t="s">
        <v>515</v>
      </c>
      <c r="S1168" s="133">
        <v>1774</v>
      </c>
      <c r="T1168" s="327" t="s">
        <v>515</v>
      </c>
      <c r="U1168" s="133">
        <v>1437</v>
      </c>
      <c r="V1168" s="327" t="s">
        <v>515</v>
      </c>
      <c r="W1168" s="133">
        <v>466</v>
      </c>
      <c r="X1168" s="133" t="s">
        <v>515</v>
      </c>
      <c r="Y1168" s="133">
        <v>868</v>
      </c>
      <c r="Z1168" s="327" t="s">
        <v>515</v>
      </c>
      <c r="AA1168" s="133">
        <v>511</v>
      </c>
      <c r="AB1168" s="133" t="s">
        <v>515</v>
      </c>
      <c r="AC1168" s="133">
        <v>1398</v>
      </c>
      <c r="AD1168" s="327" t="s">
        <v>515</v>
      </c>
      <c r="AE1168" s="133">
        <v>2121</v>
      </c>
      <c r="AF1168" s="133" t="s">
        <v>515</v>
      </c>
      <c r="AG1168" s="133">
        <v>1779</v>
      </c>
      <c r="AH1168" s="327" t="s">
        <v>515</v>
      </c>
      <c r="AI1168" s="133">
        <v>2272</v>
      </c>
      <c r="AJ1168" s="133" t="s">
        <v>515</v>
      </c>
      <c r="AK1168" s="133">
        <v>1974</v>
      </c>
      <c r="AL1168" s="327" t="s">
        <v>515</v>
      </c>
      <c r="AM1168" s="327">
        <f t="shared" si="29"/>
        <v>17140</v>
      </c>
    </row>
    <row r="1169" spans="1:39" ht="18" customHeight="1" x14ac:dyDescent="0.3">
      <c r="A1169" s="424">
        <f t="shared" si="30"/>
        <v>766</v>
      </c>
      <c r="B1169" s="422" t="s">
        <v>1609</v>
      </c>
      <c r="C1169" s="11" t="s">
        <v>268</v>
      </c>
      <c r="D1169" s="12" t="s">
        <v>247</v>
      </c>
      <c r="E1169" s="31" t="s">
        <v>144</v>
      </c>
      <c r="F1169" s="23" t="s">
        <v>49</v>
      </c>
      <c r="G1169" s="426" t="s">
        <v>1737</v>
      </c>
      <c r="H1169" s="133">
        <v>54</v>
      </c>
      <c r="I1169" s="158" t="s">
        <v>1738</v>
      </c>
      <c r="J1169" s="133">
        <v>4</v>
      </c>
      <c r="K1169" s="132" t="s">
        <v>218</v>
      </c>
      <c r="L1169" s="132" t="s">
        <v>218</v>
      </c>
      <c r="M1169" s="12">
        <v>8477</v>
      </c>
      <c r="N1169" s="133">
        <v>8711</v>
      </c>
      <c r="O1169" s="372">
        <v>516</v>
      </c>
      <c r="P1169" s="327" t="s">
        <v>515</v>
      </c>
      <c r="Q1169" s="133">
        <v>547</v>
      </c>
      <c r="R1169" s="327" t="s">
        <v>515</v>
      </c>
      <c r="S1169" s="133">
        <v>774</v>
      </c>
      <c r="T1169" s="327" t="s">
        <v>515</v>
      </c>
      <c r="U1169" s="133">
        <v>797</v>
      </c>
      <c r="V1169" s="327" t="s">
        <v>515</v>
      </c>
      <c r="W1169" s="133">
        <v>864</v>
      </c>
      <c r="X1169" s="133" t="s">
        <v>515</v>
      </c>
      <c r="Y1169" s="133">
        <v>806</v>
      </c>
      <c r="Z1169" s="327" t="s">
        <v>515</v>
      </c>
      <c r="AA1169" s="133">
        <v>875</v>
      </c>
      <c r="AB1169" s="133" t="s">
        <v>515</v>
      </c>
      <c r="AC1169" s="133">
        <v>634</v>
      </c>
      <c r="AD1169" s="327" t="s">
        <v>515</v>
      </c>
      <c r="AE1169" s="133">
        <v>0</v>
      </c>
      <c r="AF1169" s="133" t="s">
        <v>515</v>
      </c>
      <c r="AG1169" s="133">
        <v>797</v>
      </c>
      <c r="AH1169" s="327" t="s">
        <v>515</v>
      </c>
      <c r="AI1169" s="133">
        <v>1167</v>
      </c>
      <c r="AJ1169" s="133" t="s">
        <v>515</v>
      </c>
      <c r="AK1169" s="133">
        <v>934</v>
      </c>
      <c r="AL1169" s="327" t="s">
        <v>515</v>
      </c>
      <c r="AM1169" s="327">
        <f t="shared" si="29"/>
        <v>8711</v>
      </c>
    </row>
    <row r="1170" spans="1:39" ht="18" customHeight="1" x14ac:dyDescent="0.3">
      <c r="A1170" s="425"/>
      <c r="B1170" s="423"/>
      <c r="C1170" s="11" t="s">
        <v>268</v>
      </c>
      <c r="D1170" s="12" t="s">
        <v>247</v>
      </c>
      <c r="E1170" s="31" t="s">
        <v>48</v>
      </c>
      <c r="F1170" s="23" t="s">
        <v>49</v>
      </c>
      <c r="G1170" s="427"/>
      <c r="H1170" s="133"/>
      <c r="I1170" s="158" t="s">
        <v>1738</v>
      </c>
      <c r="J1170" s="133"/>
      <c r="K1170" s="132" t="s">
        <v>218</v>
      </c>
      <c r="L1170" s="132" t="s">
        <v>218</v>
      </c>
      <c r="M1170" s="12">
        <v>7636</v>
      </c>
      <c r="N1170" s="133">
        <v>8625</v>
      </c>
      <c r="O1170" s="372">
        <v>1102</v>
      </c>
      <c r="P1170" s="327" t="s">
        <v>515</v>
      </c>
      <c r="Q1170" s="133">
        <v>2172</v>
      </c>
      <c r="R1170" s="327" t="s">
        <v>515</v>
      </c>
      <c r="S1170" s="133">
        <v>1310</v>
      </c>
      <c r="T1170" s="327" t="s">
        <v>515</v>
      </c>
      <c r="U1170" s="133">
        <v>1267</v>
      </c>
      <c r="V1170" s="327" t="s">
        <v>515</v>
      </c>
      <c r="W1170" s="133">
        <v>488</v>
      </c>
      <c r="X1170" s="133" t="s">
        <v>515</v>
      </c>
      <c r="Y1170" s="133">
        <v>307</v>
      </c>
      <c r="Z1170" s="327" t="s">
        <v>515</v>
      </c>
      <c r="AA1170" s="133">
        <v>306</v>
      </c>
      <c r="AB1170" s="133" t="s">
        <v>515</v>
      </c>
      <c r="AC1170" s="133">
        <v>311</v>
      </c>
      <c r="AD1170" s="327" t="s">
        <v>515</v>
      </c>
      <c r="AE1170" s="133">
        <v>1448</v>
      </c>
      <c r="AF1170" s="133" t="s">
        <v>515</v>
      </c>
      <c r="AG1170" s="133">
        <v>584</v>
      </c>
      <c r="AH1170" s="327" t="s">
        <v>515</v>
      </c>
      <c r="AI1170" s="133">
        <v>973</v>
      </c>
      <c r="AJ1170" s="133" t="s">
        <v>515</v>
      </c>
      <c r="AK1170" s="133">
        <v>813</v>
      </c>
      <c r="AL1170" s="327" t="s">
        <v>515</v>
      </c>
      <c r="AM1170" s="327">
        <f t="shared" si="29"/>
        <v>11081</v>
      </c>
    </row>
    <row r="1171" spans="1:39" ht="18" customHeight="1" x14ac:dyDescent="0.3">
      <c r="A1171" s="424">
        <f t="shared" si="30"/>
        <v>767</v>
      </c>
      <c r="B1171" s="422" t="s">
        <v>1610</v>
      </c>
      <c r="C1171" s="11" t="s">
        <v>268</v>
      </c>
      <c r="D1171" s="12" t="s">
        <v>247</v>
      </c>
      <c r="E1171" s="31" t="s">
        <v>144</v>
      </c>
      <c r="F1171" s="23" t="s">
        <v>49</v>
      </c>
      <c r="G1171" s="428" t="s">
        <v>336</v>
      </c>
      <c r="H1171" s="133">
        <v>430</v>
      </c>
      <c r="I1171" s="158" t="s">
        <v>1738</v>
      </c>
      <c r="J1171" s="133">
        <v>6</v>
      </c>
      <c r="K1171" s="132" t="s">
        <v>218</v>
      </c>
      <c r="L1171" s="132" t="s">
        <v>218</v>
      </c>
      <c r="M1171" s="12">
        <v>56560</v>
      </c>
      <c r="N1171" s="133">
        <v>49140</v>
      </c>
      <c r="O1171" s="372">
        <v>4680</v>
      </c>
      <c r="P1171" s="327" t="s">
        <v>515</v>
      </c>
      <c r="Q1171" s="133">
        <v>4720</v>
      </c>
      <c r="R1171" s="327" t="s">
        <v>515</v>
      </c>
      <c r="S1171" s="133">
        <v>4620</v>
      </c>
      <c r="T1171" s="327" t="s">
        <v>515</v>
      </c>
      <c r="U1171" s="133">
        <v>5080</v>
      </c>
      <c r="V1171" s="327" t="s">
        <v>515</v>
      </c>
      <c r="W1171" s="133">
        <v>3900</v>
      </c>
      <c r="X1171" s="133" t="s">
        <v>515</v>
      </c>
      <c r="Y1171" s="133">
        <v>4100</v>
      </c>
      <c r="Z1171" s="327" t="s">
        <v>515</v>
      </c>
      <c r="AA1171" s="133">
        <v>4520</v>
      </c>
      <c r="AB1171" s="133" t="s">
        <v>515</v>
      </c>
      <c r="AC1171" s="133">
        <v>3760</v>
      </c>
      <c r="AD1171" s="327" t="s">
        <v>515</v>
      </c>
      <c r="AE1171" s="133">
        <v>0</v>
      </c>
      <c r="AF1171" s="133" t="s">
        <v>515</v>
      </c>
      <c r="AG1171" s="133">
        <v>5100</v>
      </c>
      <c r="AH1171" s="327" t="s">
        <v>515</v>
      </c>
      <c r="AI1171" s="133">
        <v>4480</v>
      </c>
      <c r="AJ1171" s="133" t="s">
        <v>515</v>
      </c>
      <c r="AK1171" s="133">
        <v>4180</v>
      </c>
      <c r="AL1171" s="327" t="s">
        <v>515</v>
      </c>
      <c r="AM1171" s="327">
        <f t="shared" si="29"/>
        <v>49140</v>
      </c>
    </row>
    <row r="1172" spans="1:39" ht="18" customHeight="1" x14ac:dyDescent="0.3">
      <c r="A1172" s="425"/>
      <c r="B1172" s="423"/>
      <c r="C1172" s="11" t="s">
        <v>268</v>
      </c>
      <c r="D1172" s="12" t="s">
        <v>247</v>
      </c>
      <c r="E1172" s="31" t="s">
        <v>48</v>
      </c>
      <c r="F1172" s="23" t="s">
        <v>49</v>
      </c>
      <c r="G1172" s="429"/>
      <c r="H1172" s="133"/>
      <c r="I1172" s="158" t="s">
        <v>1738</v>
      </c>
      <c r="J1172" s="133"/>
      <c r="K1172" s="132" t="s">
        <v>218</v>
      </c>
      <c r="L1172" s="132" t="s">
        <v>218</v>
      </c>
      <c r="M1172" s="12">
        <v>61413</v>
      </c>
      <c r="N1172" s="133">
        <v>68018</v>
      </c>
      <c r="O1172" s="372">
        <v>6266</v>
      </c>
      <c r="P1172" s="327" t="s">
        <v>515</v>
      </c>
      <c r="Q1172" s="133">
        <v>6463</v>
      </c>
      <c r="R1172" s="327" t="s">
        <v>515</v>
      </c>
      <c r="S1172" s="133">
        <v>3681</v>
      </c>
      <c r="T1172" s="327" t="s">
        <v>515</v>
      </c>
      <c r="U1172" s="133">
        <v>3856</v>
      </c>
      <c r="V1172" s="327" t="s">
        <v>515</v>
      </c>
      <c r="W1172" s="133">
        <v>4087</v>
      </c>
      <c r="X1172" s="133" t="s">
        <v>515</v>
      </c>
      <c r="Y1172" s="133">
        <v>3976</v>
      </c>
      <c r="Z1172" s="327" t="s">
        <v>515</v>
      </c>
      <c r="AA1172" s="133">
        <v>4541</v>
      </c>
      <c r="AB1172" s="133" t="s">
        <v>515</v>
      </c>
      <c r="AC1172" s="133">
        <v>4832</v>
      </c>
      <c r="AD1172" s="327" t="s">
        <v>515</v>
      </c>
      <c r="AE1172" s="133">
        <v>8677</v>
      </c>
      <c r="AF1172" s="133" t="s">
        <v>515</v>
      </c>
      <c r="AG1172" s="133">
        <v>6027</v>
      </c>
      <c r="AH1172" s="327" t="s">
        <v>515</v>
      </c>
      <c r="AI1172" s="133">
        <v>5533</v>
      </c>
      <c r="AJ1172" s="133" t="s">
        <v>515</v>
      </c>
      <c r="AK1172" s="133">
        <v>5760</v>
      </c>
      <c r="AL1172" s="327" t="s">
        <v>515</v>
      </c>
      <c r="AM1172" s="327">
        <f t="shared" si="29"/>
        <v>63699</v>
      </c>
    </row>
    <row r="1173" spans="1:39" ht="18" customHeight="1" x14ac:dyDescent="0.3">
      <c r="A1173" s="424">
        <f t="shared" si="30"/>
        <v>768</v>
      </c>
      <c r="B1173" s="422" t="s">
        <v>1611</v>
      </c>
      <c r="C1173" s="11" t="s">
        <v>268</v>
      </c>
      <c r="D1173" s="12" t="s">
        <v>247</v>
      </c>
      <c r="E1173" s="31" t="s">
        <v>144</v>
      </c>
      <c r="F1173" s="23" t="s">
        <v>49</v>
      </c>
      <c r="G1173" s="426" t="s">
        <v>1737</v>
      </c>
      <c r="H1173" s="133">
        <v>38</v>
      </c>
      <c r="I1173" s="158" t="s">
        <v>1738</v>
      </c>
      <c r="J1173" s="133">
        <v>6</v>
      </c>
      <c r="K1173" s="132" t="s">
        <v>218</v>
      </c>
      <c r="L1173" s="132" t="s">
        <v>218</v>
      </c>
      <c r="M1173" s="12">
        <v>0</v>
      </c>
      <c r="N1173" s="133">
        <v>0</v>
      </c>
      <c r="O1173" s="372">
        <v>0</v>
      </c>
      <c r="P1173" s="327" t="s">
        <v>515</v>
      </c>
      <c r="Q1173" s="133">
        <v>0</v>
      </c>
      <c r="R1173" s="327" t="s">
        <v>515</v>
      </c>
      <c r="S1173" s="133">
        <v>0</v>
      </c>
      <c r="T1173" s="327" t="s">
        <v>515</v>
      </c>
      <c r="U1173" s="133">
        <v>0</v>
      </c>
      <c r="V1173" s="327" t="s">
        <v>515</v>
      </c>
      <c r="W1173" s="133">
        <v>0</v>
      </c>
      <c r="X1173" s="133" t="s">
        <v>515</v>
      </c>
      <c r="Y1173" s="133">
        <v>0</v>
      </c>
      <c r="Z1173" s="327" t="s">
        <v>515</v>
      </c>
      <c r="AA1173" s="133">
        <v>0</v>
      </c>
      <c r="AB1173" s="133" t="s">
        <v>515</v>
      </c>
      <c r="AC1173" s="133">
        <v>0</v>
      </c>
      <c r="AD1173" s="327" t="s">
        <v>515</v>
      </c>
      <c r="AE1173" s="133">
        <v>0</v>
      </c>
      <c r="AF1173" s="133" t="s">
        <v>515</v>
      </c>
      <c r="AG1173" s="133">
        <v>0</v>
      </c>
      <c r="AH1173" s="327" t="s">
        <v>515</v>
      </c>
      <c r="AI1173" s="133">
        <v>0</v>
      </c>
      <c r="AJ1173" s="133" t="s">
        <v>515</v>
      </c>
      <c r="AK1173" s="133">
        <v>0</v>
      </c>
      <c r="AL1173" s="327" t="s">
        <v>515</v>
      </c>
      <c r="AM1173" s="327">
        <f t="shared" si="29"/>
        <v>0</v>
      </c>
    </row>
    <row r="1174" spans="1:39" ht="18" customHeight="1" x14ac:dyDescent="0.3">
      <c r="A1174" s="425"/>
      <c r="B1174" s="423"/>
      <c r="C1174" s="11" t="s">
        <v>268</v>
      </c>
      <c r="D1174" s="12" t="s">
        <v>247</v>
      </c>
      <c r="E1174" s="31" t="s">
        <v>48</v>
      </c>
      <c r="F1174" s="23" t="s">
        <v>49</v>
      </c>
      <c r="G1174" s="427"/>
      <c r="H1174" s="133"/>
      <c r="I1174" s="158" t="s">
        <v>1738</v>
      </c>
      <c r="J1174" s="133"/>
      <c r="K1174" s="132" t="s">
        <v>218</v>
      </c>
      <c r="L1174" s="132" t="s">
        <v>218</v>
      </c>
      <c r="M1174" s="12">
        <v>15049</v>
      </c>
      <c r="N1174" s="133">
        <v>12521</v>
      </c>
      <c r="O1174" s="372">
        <v>1265</v>
      </c>
      <c r="P1174" s="327" t="s">
        <v>515</v>
      </c>
      <c r="Q1174" s="133">
        <v>1394</v>
      </c>
      <c r="R1174" s="327" t="s">
        <v>515</v>
      </c>
      <c r="S1174" s="133">
        <v>1265</v>
      </c>
      <c r="T1174" s="327" t="s">
        <v>515</v>
      </c>
      <c r="U1174" s="133">
        <v>986</v>
      </c>
      <c r="V1174" s="327" t="s">
        <v>515</v>
      </c>
      <c r="W1174" s="133">
        <v>977</v>
      </c>
      <c r="X1174" s="133" t="s">
        <v>515</v>
      </c>
      <c r="Y1174" s="133">
        <v>912</v>
      </c>
      <c r="Z1174" s="327" t="s">
        <v>515</v>
      </c>
      <c r="AA1174" s="133">
        <v>0</v>
      </c>
      <c r="AB1174" s="133" t="s">
        <v>515</v>
      </c>
      <c r="AC1174" s="133">
        <v>978</v>
      </c>
      <c r="AD1174" s="327" t="s">
        <v>515</v>
      </c>
      <c r="AE1174" s="133">
        <v>1103</v>
      </c>
      <c r="AF1174" s="133" t="s">
        <v>515</v>
      </c>
      <c r="AG1174" s="133">
        <v>1162</v>
      </c>
      <c r="AH1174" s="327" t="s">
        <v>515</v>
      </c>
      <c r="AI1174" s="133">
        <v>1096</v>
      </c>
      <c r="AJ1174" s="133" t="s">
        <v>515</v>
      </c>
      <c r="AK1174" s="133">
        <v>1242</v>
      </c>
      <c r="AL1174" s="327" t="s">
        <v>515</v>
      </c>
      <c r="AM1174" s="327">
        <f t="shared" si="29"/>
        <v>12380</v>
      </c>
    </row>
    <row r="1175" spans="1:39" ht="18" customHeight="1" x14ac:dyDescent="0.3">
      <c r="A1175" s="424">
        <f t="shared" si="30"/>
        <v>769</v>
      </c>
      <c r="B1175" s="422" t="s">
        <v>1612</v>
      </c>
      <c r="C1175" s="11" t="s">
        <v>268</v>
      </c>
      <c r="D1175" s="12" t="s">
        <v>247</v>
      </c>
      <c r="E1175" s="31" t="s">
        <v>144</v>
      </c>
      <c r="F1175" s="23" t="s">
        <v>49</v>
      </c>
      <c r="G1175" s="426" t="s">
        <v>1737</v>
      </c>
      <c r="H1175" s="133">
        <v>84</v>
      </c>
      <c r="I1175" s="158" t="s">
        <v>1738</v>
      </c>
      <c r="J1175" s="133">
        <v>9</v>
      </c>
      <c r="K1175" s="132" t="s">
        <v>218</v>
      </c>
      <c r="L1175" s="132" t="s">
        <v>218</v>
      </c>
      <c r="M1175" s="12">
        <v>0</v>
      </c>
      <c r="N1175" s="133">
        <v>0</v>
      </c>
      <c r="O1175" s="372">
        <v>0</v>
      </c>
      <c r="P1175" s="327" t="s">
        <v>515</v>
      </c>
      <c r="Q1175" s="133">
        <v>0</v>
      </c>
      <c r="R1175" s="327" t="s">
        <v>515</v>
      </c>
      <c r="S1175" s="133">
        <v>0</v>
      </c>
      <c r="T1175" s="327" t="s">
        <v>515</v>
      </c>
      <c r="U1175" s="133">
        <v>0</v>
      </c>
      <c r="V1175" s="327" t="s">
        <v>515</v>
      </c>
      <c r="W1175" s="133">
        <v>0</v>
      </c>
      <c r="X1175" s="133" t="s">
        <v>515</v>
      </c>
      <c r="Y1175" s="133">
        <v>0</v>
      </c>
      <c r="Z1175" s="327" t="s">
        <v>515</v>
      </c>
      <c r="AA1175" s="133">
        <v>0</v>
      </c>
      <c r="AB1175" s="133" t="s">
        <v>515</v>
      </c>
      <c r="AC1175" s="133">
        <v>0</v>
      </c>
      <c r="AD1175" s="327" t="s">
        <v>515</v>
      </c>
      <c r="AE1175" s="133">
        <v>0</v>
      </c>
      <c r="AF1175" s="133" t="s">
        <v>515</v>
      </c>
      <c r="AG1175" s="133">
        <v>0</v>
      </c>
      <c r="AH1175" s="327" t="s">
        <v>515</v>
      </c>
      <c r="AI1175" s="133">
        <v>0</v>
      </c>
      <c r="AJ1175" s="133" t="s">
        <v>515</v>
      </c>
      <c r="AK1175" s="133">
        <v>0</v>
      </c>
      <c r="AL1175" s="327" t="s">
        <v>515</v>
      </c>
      <c r="AM1175" s="327">
        <f t="shared" si="29"/>
        <v>0</v>
      </c>
    </row>
    <row r="1176" spans="1:39" ht="18" customHeight="1" x14ac:dyDescent="0.3">
      <c r="A1176" s="425"/>
      <c r="B1176" s="423"/>
      <c r="C1176" s="11" t="s">
        <v>268</v>
      </c>
      <c r="D1176" s="12" t="s">
        <v>247</v>
      </c>
      <c r="E1176" s="31" t="s">
        <v>48</v>
      </c>
      <c r="F1176" s="23" t="s">
        <v>49</v>
      </c>
      <c r="G1176" s="427"/>
      <c r="H1176" s="133"/>
      <c r="I1176" s="158" t="s">
        <v>1738</v>
      </c>
      <c r="J1176" s="133"/>
      <c r="K1176" s="132" t="s">
        <v>218</v>
      </c>
      <c r="L1176" s="132" t="s">
        <v>218</v>
      </c>
      <c r="M1176" s="12">
        <v>14307</v>
      </c>
      <c r="N1176" s="133">
        <v>13403</v>
      </c>
      <c r="O1176" s="372">
        <v>1771</v>
      </c>
      <c r="P1176" s="327" t="s">
        <v>515</v>
      </c>
      <c r="Q1176" s="133">
        <v>737</v>
      </c>
      <c r="R1176" s="327" t="s">
        <v>515</v>
      </c>
      <c r="S1176" s="133">
        <v>781</v>
      </c>
      <c r="T1176" s="327" t="s">
        <v>515</v>
      </c>
      <c r="U1176" s="133">
        <v>548</v>
      </c>
      <c r="V1176" s="327" t="s">
        <v>515</v>
      </c>
      <c r="W1176" s="133">
        <v>843</v>
      </c>
      <c r="X1176" s="133" t="s">
        <v>515</v>
      </c>
      <c r="Y1176" s="133">
        <v>645</v>
      </c>
      <c r="Z1176" s="327" t="s">
        <v>515</v>
      </c>
      <c r="AA1176" s="133">
        <v>635</v>
      </c>
      <c r="AB1176" s="133" t="s">
        <v>515</v>
      </c>
      <c r="AC1176" s="133">
        <v>765</v>
      </c>
      <c r="AD1176" s="327" t="s">
        <v>515</v>
      </c>
      <c r="AE1176" s="133">
        <v>883</v>
      </c>
      <c r="AF1176" s="133" t="s">
        <v>515</v>
      </c>
      <c r="AG1176" s="133">
        <v>1270</v>
      </c>
      <c r="AH1176" s="327" t="s">
        <v>515</v>
      </c>
      <c r="AI1176" s="133">
        <v>1316</v>
      </c>
      <c r="AJ1176" s="133" t="s">
        <v>515</v>
      </c>
      <c r="AK1176" s="133">
        <v>1213</v>
      </c>
      <c r="AL1176" s="327" t="s">
        <v>515</v>
      </c>
      <c r="AM1176" s="327">
        <f t="shared" si="29"/>
        <v>11407</v>
      </c>
    </row>
    <row r="1177" spans="1:39" ht="18" customHeight="1" x14ac:dyDescent="0.3">
      <c r="A1177" s="424">
        <f t="shared" si="30"/>
        <v>770</v>
      </c>
      <c r="B1177" s="422" t="s">
        <v>1613</v>
      </c>
      <c r="C1177" s="11" t="s">
        <v>268</v>
      </c>
      <c r="D1177" s="12" t="s">
        <v>247</v>
      </c>
      <c r="E1177" s="31" t="s">
        <v>144</v>
      </c>
      <c r="F1177" s="23" t="s">
        <v>49</v>
      </c>
      <c r="G1177" s="426" t="s">
        <v>1737</v>
      </c>
      <c r="H1177" s="133">
        <v>84</v>
      </c>
      <c r="I1177" s="158" t="s">
        <v>1738</v>
      </c>
      <c r="J1177" s="133">
        <v>9</v>
      </c>
      <c r="K1177" s="132" t="s">
        <v>218</v>
      </c>
      <c r="L1177" s="132" t="s">
        <v>218</v>
      </c>
      <c r="M1177" s="12">
        <v>0</v>
      </c>
      <c r="N1177" s="133">
        <v>0</v>
      </c>
      <c r="O1177" s="372">
        <v>0</v>
      </c>
      <c r="P1177" s="327" t="s">
        <v>515</v>
      </c>
      <c r="Q1177" s="133">
        <v>0</v>
      </c>
      <c r="R1177" s="327" t="s">
        <v>515</v>
      </c>
      <c r="S1177" s="133">
        <v>0</v>
      </c>
      <c r="T1177" s="327" t="s">
        <v>515</v>
      </c>
      <c r="U1177" s="133">
        <v>0</v>
      </c>
      <c r="V1177" s="327" t="s">
        <v>515</v>
      </c>
      <c r="W1177" s="133">
        <v>0</v>
      </c>
      <c r="X1177" s="133" t="s">
        <v>515</v>
      </c>
      <c r="Y1177" s="133">
        <v>0</v>
      </c>
      <c r="Z1177" s="327" t="s">
        <v>515</v>
      </c>
      <c r="AA1177" s="133">
        <v>0</v>
      </c>
      <c r="AB1177" s="133" t="s">
        <v>515</v>
      </c>
      <c r="AC1177" s="133">
        <v>0</v>
      </c>
      <c r="AD1177" s="327" t="s">
        <v>515</v>
      </c>
      <c r="AE1177" s="133">
        <v>0</v>
      </c>
      <c r="AF1177" s="133" t="s">
        <v>515</v>
      </c>
      <c r="AG1177" s="133">
        <v>0</v>
      </c>
      <c r="AH1177" s="327" t="s">
        <v>515</v>
      </c>
      <c r="AI1177" s="133">
        <v>0</v>
      </c>
      <c r="AJ1177" s="133" t="s">
        <v>515</v>
      </c>
      <c r="AK1177" s="133">
        <v>0</v>
      </c>
      <c r="AL1177" s="327" t="s">
        <v>515</v>
      </c>
      <c r="AM1177" s="327">
        <f t="shared" si="29"/>
        <v>0</v>
      </c>
    </row>
    <row r="1178" spans="1:39" ht="18" customHeight="1" x14ac:dyDescent="0.3">
      <c r="A1178" s="425"/>
      <c r="B1178" s="423"/>
      <c r="C1178" s="11" t="s">
        <v>268</v>
      </c>
      <c r="D1178" s="12" t="s">
        <v>247</v>
      </c>
      <c r="E1178" s="31" t="s">
        <v>48</v>
      </c>
      <c r="F1178" s="23" t="s">
        <v>49</v>
      </c>
      <c r="G1178" s="427"/>
      <c r="H1178" s="133"/>
      <c r="I1178" s="158" t="s">
        <v>1738</v>
      </c>
      <c r="J1178" s="133"/>
      <c r="K1178" s="132" t="s">
        <v>218</v>
      </c>
      <c r="L1178" s="132" t="s">
        <v>218</v>
      </c>
      <c r="M1178" s="12">
        <v>10437</v>
      </c>
      <c r="N1178" s="133">
        <v>12635</v>
      </c>
      <c r="O1178" s="372">
        <v>0</v>
      </c>
      <c r="P1178" s="327" t="s">
        <v>515</v>
      </c>
      <c r="Q1178" s="133">
        <v>1129</v>
      </c>
      <c r="R1178" s="327" t="s">
        <v>515</v>
      </c>
      <c r="S1178" s="133">
        <v>1141</v>
      </c>
      <c r="T1178" s="327" t="s">
        <v>515</v>
      </c>
      <c r="U1178" s="133">
        <v>928</v>
      </c>
      <c r="V1178" s="327" t="s">
        <v>515</v>
      </c>
      <c r="W1178" s="133">
        <v>1552</v>
      </c>
      <c r="X1178" s="133" t="s">
        <v>515</v>
      </c>
      <c r="Y1178" s="133">
        <v>648</v>
      </c>
      <c r="Z1178" s="327" t="s">
        <v>515</v>
      </c>
      <c r="AA1178" s="133">
        <v>631</v>
      </c>
      <c r="AB1178" s="133" t="s">
        <v>515</v>
      </c>
      <c r="AC1178" s="133">
        <v>863</v>
      </c>
      <c r="AD1178" s="327" t="s">
        <v>515</v>
      </c>
      <c r="AE1178" s="133">
        <v>982</v>
      </c>
      <c r="AF1178" s="133" t="s">
        <v>515</v>
      </c>
      <c r="AG1178" s="133">
        <v>1546</v>
      </c>
      <c r="AH1178" s="327" t="s">
        <v>515</v>
      </c>
      <c r="AI1178" s="133">
        <v>1390</v>
      </c>
      <c r="AJ1178" s="133" t="s">
        <v>515</v>
      </c>
      <c r="AK1178" s="133">
        <v>1382</v>
      </c>
      <c r="AL1178" s="327" t="s">
        <v>515</v>
      </c>
      <c r="AM1178" s="327">
        <f t="shared" si="29"/>
        <v>12192</v>
      </c>
    </row>
    <row r="1179" spans="1:39" ht="18" customHeight="1" x14ac:dyDescent="0.3">
      <c r="A1179" s="424">
        <f t="shared" si="30"/>
        <v>771</v>
      </c>
      <c r="B1179" s="422" t="s">
        <v>1614</v>
      </c>
      <c r="C1179" s="11" t="s">
        <v>268</v>
      </c>
      <c r="D1179" s="12" t="s">
        <v>247</v>
      </c>
      <c r="E1179" s="31" t="s">
        <v>144</v>
      </c>
      <c r="F1179" s="23" t="s">
        <v>49</v>
      </c>
      <c r="G1179" s="426" t="s">
        <v>1737</v>
      </c>
      <c r="H1179" s="133">
        <v>125</v>
      </c>
      <c r="I1179" s="158" t="s">
        <v>1738</v>
      </c>
      <c r="J1179" s="133">
        <v>0</v>
      </c>
      <c r="K1179" s="132" t="s">
        <v>218</v>
      </c>
      <c r="L1179" s="132" t="s">
        <v>218</v>
      </c>
      <c r="M1179" s="12">
        <v>0</v>
      </c>
      <c r="N1179" s="133">
        <v>0</v>
      </c>
      <c r="O1179" s="372">
        <v>0</v>
      </c>
      <c r="P1179" s="327" t="s">
        <v>515</v>
      </c>
      <c r="Q1179" s="133">
        <v>0</v>
      </c>
      <c r="R1179" s="327" t="s">
        <v>515</v>
      </c>
      <c r="S1179" s="133">
        <v>0</v>
      </c>
      <c r="T1179" s="327" t="s">
        <v>515</v>
      </c>
      <c r="U1179" s="133">
        <v>0</v>
      </c>
      <c r="V1179" s="327" t="s">
        <v>515</v>
      </c>
      <c r="W1179" s="133">
        <v>0</v>
      </c>
      <c r="X1179" s="133" t="s">
        <v>515</v>
      </c>
      <c r="Y1179" s="133">
        <v>0</v>
      </c>
      <c r="Z1179" s="327" t="s">
        <v>515</v>
      </c>
      <c r="AA1179" s="133">
        <v>0</v>
      </c>
      <c r="AB1179" s="133" t="s">
        <v>515</v>
      </c>
      <c r="AC1179" s="133">
        <v>0</v>
      </c>
      <c r="AD1179" s="327" t="s">
        <v>515</v>
      </c>
      <c r="AE1179" s="133">
        <v>0</v>
      </c>
      <c r="AF1179" s="133" t="s">
        <v>515</v>
      </c>
      <c r="AG1179" s="133">
        <v>0</v>
      </c>
      <c r="AH1179" s="327" t="s">
        <v>515</v>
      </c>
      <c r="AI1179" s="133">
        <v>0</v>
      </c>
      <c r="AJ1179" s="133" t="s">
        <v>515</v>
      </c>
      <c r="AK1179" s="133">
        <v>0</v>
      </c>
      <c r="AL1179" s="327" t="s">
        <v>515</v>
      </c>
      <c r="AM1179" s="327">
        <f t="shared" si="29"/>
        <v>0</v>
      </c>
    </row>
    <row r="1180" spans="1:39" ht="18" customHeight="1" x14ac:dyDescent="0.3">
      <c r="A1180" s="425"/>
      <c r="B1180" s="423"/>
      <c r="C1180" s="11" t="s">
        <v>268</v>
      </c>
      <c r="D1180" s="12" t="s">
        <v>247</v>
      </c>
      <c r="E1180" s="31" t="s">
        <v>48</v>
      </c>
      <c r="F1180" s="23" t="s">
        <v>49</v>
      </c>
      <c r="G1180" s="427"/>
      <c r="H1180" s="133"/>
      <c r="I1180" s="158" t="s">
        <v>1738</v>
      </c>
      <c r="J1180" s="133"/>
      <c r="K1180" s="132" t="s">
        <v>218</v>
      </c>
      <c r="L1180" s="132" t="s">
        <v>218</v>
      </c>
      <c r="M1180" s="12">
        <v>5542</v>
      </c>
      <c r="N1180" s="133">
        <v>7406</v>
      </c>
      <c r="O1180" s="372">
        <v>610</v>
      </c>
      <c r="P1180" s="327" t="s">
        <v>515</v>
      </c>
      <c r="Q1180" s="133">
        <v>650</v>
      </c>
      <c r="R1180" s="327" t="s">
        <v>515</v>
      </c>
      <c r="S1180" s="133">
        <v>554</v>
      </c>
      <c r="T1180" s="327" t="s">
        <v>515</v>
      </c>
      <c r="U1180" s="133">
        <v>494</v>
      </c>
      <c r="V1180" s="327" t="s">
        <v>515</v>
      </c>
      <c r="W1180" s="133">
        <v>518</v>
      </c>
      <c r="X1180" s="133" t="s">
        <v>515</v>
      </c>
      <c r="Y1180" s="133">
        <v>464</v>
      </c>
      <c r="Z1180" s="327" t="s">
        <v>515</v>
      </c>
      <c r="AA1180" s="133">
        <v>584</v>
      </c>
      <c r="AB1180" s="133" t="s">
        <v>515</v>
      </c>
      <c r="AC1180" s="133">
        <v>557</v>
      </c>
      <c r="AD1180" s="327" t="s">
        <v>515</v>
      </c>
      <c r="AE1180" s="133">
        <v>479</v>
      </c>
      <c r="AF1180" s="133" t="s">
        <v>515</v>
      </c>
      <c r="AG1180" s="133">
        <v>595</v>
      </c>
      <c r="AH1180" s="327" t="s">
        <v>515</v>
      </c>
      <c r="AI1180" s="133">
        <v>867</v>
      </c>
      <c r="AJ1180" s="133" t="s">
        <v>515</v>
      </c>
      <c r="AK1180" s="133">
        <v>600</v>
      </c>
      <c r="AL1180" s="327" t="s">
        <v>515</v>
      </c>
      <c r="AM1180" s="327">
        <f t="shared" si="29"/>
        <v>6972</v>
      </c>
    </row>
    <row r="1181" spans="1:39" ht="18" customHeight="1" x14ac:dyDescent="0.3">
      <c r="A1181" s="424">
        <f t="shared" si="30"/>
        <v>772</v>
      </c>
      <c r="B1181" s="422" t="s">
        <v>1615</v>
      </c>
      <c r="C1181" s="11" t="s">
        <v>268</v>
      </c>
      <c r="D1181" s="12" t="s">
        <v>247</v>
      </c>
      <c r="E1181" s="31" t="s">
        <v>144</v>
      </c>
      <c r="F1181" s="23" t="s">
        <v>49</v>
      </c>
      <c r="G1181" s="426" t="s">
        <v>1737</v>
      </c>
      <c r="H1181" s="133">
        <v>84</v>
      </c>
      <c r="I1181" s="158" t="s">
        <v>1738</v>
      </c>
      <c r="J1181" s="133">
        <v>0</v>
      </c>
      <c r="K1181" s="132" t="s">
        <v>218</v>
      </c>
      <c r="L1181" s="132" t="s">
        <v>218</v>
      </c>
      <c r="M1181" s="12">
        <v>0</v>
      </c>
      <c r="N1181" s="133">
        <v>0</v>
      </c>
      <c r="O1181" s="372">
        <v>0</v>
      </c>
      <c r="P1181" s="327" t="s">
        <v>515</v>
      </c>
      <c r="Q1181" s="133">
        <v>0</v>
      </c>
      <c r="R1181" s="327" t="s">
        <v>515</v>
      </c>
      <c r="S1181" s="133">
        <v>0</v>
      </c>
      <c r="T1181" s="327" t="s">
        <v>515</v>
      </c>
      <c r="U1181" s="133">
        <v>0</v>
      </c>
      <c r="V1181" s="327" t="s">
        <v>515</v>
      </c>
      <c r="W1181" s="133">
        <v>0</v>
      </c>
      <c r="X1181" s="133" t="s">
        <v>515</v>
      </c>
      <c r="Y1181" s="133">
        <v>0</v>
      </c>
      <c r="Z1181" s="327" t="s">
        <v>515</v>
      </c>
      <c r="AA1181" s="133">
        <v>0</v>
      </c>
      <c r="AB1181" s="133" t="s">
        <v>515</v>
      </c>
      <c r="AC1181" s="133">
        <v>0</v>
      </c>
      <c r="AD1181" s="327" t="s">
        <v>515</v>
      </c>
      <c r="AE1181" s="133">
        <v>0</v>
      </c>
      <c r="AF1181" s="133" t="s">
        <v>515</v>
      </c>
      <c r="AG1181" s="133">
        <v>0</v>
      </c>
      <c r="AH1181" s="327" t="s">
        <v>515</v>
      </c>
      <c r="AI1181" s="133">
        <v>0</v>
      </c>
      <c r="AJ1181" s="133" t="s">
        <v>515</v>
      </c>
      <c r="AK1181" s="133">
        <v>0</v>
      </c>
      <c r="AL1181" s="327" t="s">
        <v>515</v>
      </c>
      <c r="AM1181" s="327">
        <f t="shared" si="29"/>
        <v>0</v>
      </c>
    </row>
    <row r="1182" spans="1:39" ht="18" customHeight="1" x14ac:dyDescent="0.3">
      <c r="A1182" s="425"/>
      <c r="B1182" s="423"/>
      <c r="C1182" s="11" t="s">
        <v>268</v>
      </c>
      <c r="D1182" s="12" t="s">
        <v>247</v>
      </c>
      <c r="E1182" s="31" t="s">
        <v>48</v>
      </c>
      <c r="F1182" s="23" t="s">
        <v>49</v>
      </c>
      <c r="G1182" s="427"/>
      <c r="H1182" s="133"/>
      <c r="I1182" s="158" t="s">
        <v>1738</v>
      </c>
      <c r="J1182" s="133"/>
      <c r="K1182" s="132" t="s">
        <v>218</v>
      </c>
      <c r="L1182" s="132" t="s">
        <v>218</v>
      </c>
      <c r="M1182" s="12">
        <v>9612</v>
      </c>
      <c r="N1182" s="133">
        <v>12693</v>
      </c>
      <c r="O1182" s="372">
        <v>1298</v>
      </c>
      <c r="P1182" s="327" t="s">
        <v>515</v>
      </c>
      <c r="Q1182" s="133">
        <v>1372</v>
      </c>
      <c r="R1182" s="327" t="s">
        <v>515</v>
      </c>
      <c r="S1182" s="133">
        <v>922</v>
      </c>
      <c r="T1182" s="327" t="s">
        <v>515</v>
      </c>
      <c r="U1182" s="133">
        <v>808</v>
      </c>
      <c r="V1182" s="327" t="s">
        <v>515</v>
      </c>
      <c r="W1182" s="133">
        <v>760</v>
      </c>
      <c r="X1182" s="133" t="s">
        <v>515</v>
      </c>
      <c r="Y1182" s="133">
        <v>674</v>
      </c>
      <c r="Z1182" s="327" t="s">
        <v>515</v>
      </c>
      <c r="AA1182" s="133">
        <v>672</v>
      </c>
      <c r="AB1182" s="133" t="s">
        <v>515</v>
      </c>
      <c r="AC1182" s="133">
        <v>685</v>
      </c>
      <c r="AD1182" s="327" t="s">
        <v>515</v>
      </c>
      <c r="AE1182" s="133">
        <v>948</v>
      </c>
      <c r="AF1182" s="133" t="s">
        <v>515</v>
      </c>
      <c r="AG1182" s="133">
        <v>1092</v>
      </c>
      <c r="AH1182" s="327" t="s">
        <v>515</v>
      </c>
      <c r="AI1182" s="133">
        <v>1494</v>
      </c>
      <c r="AJ1182" s="133" t="s">
        <v>515</v>
      </c>
      <c r="AK1182" s="133">
        <v>1396</v>
      </c>
      <c r="AL1182" s="327" t="s">
        <v>515</v>
      </c>
      <c r="AM1182" s="327">
        <f t="shared" si="29"/>
        <v>12121</v>
      </c>
    </row>
    <row r="1183" spans="1:39" ht="18" customHeight="1" x14ac:dyDescent="0.3">
      <c r="A1183" s="424">
        <f t="shared" si="30"/>
        <v>773</v>
      </c>
      <c r="B1183" s="422" t="s">
        <v>1616</v>
      </c>
      <c r="C1183" s="11" t="s">
        <v>268</v>
      </c>
      <c r="D1183" s="12" t="s">
        <v>247</v>
      </c>
      <c r="E1183" s="31" t="s">
        <v>144</v>
      </c>
      <c r="F1183" s="23" t="s">
        <v>49</v>
      </c>
      <c r="G1183" s="426" t="s">
        <v>1737</v>
      </c>
      <c r="H1183" s="133">
        <v>385</v>
      </c>
      <c r="I1183" s="158" t="s">
        <v>1738</v>
      </c>
      <c r="J1183" s="133">
        <v>5</v>
      </c>
      <c r="K1183" s="132" t="s">
        <v>218</v>
      </c>
      <c r="L1183" s="132" t="s">
        <v>218</v>
      </c>
      <c r="M1183" s="12">
        <v>11302</v>
      </c>
      <c r="N1183" s="133">
        <v>9741</v>
      </c>
      <c r="O1183" s="372">
        <v>1219</v>
      </c>
      <c r="P1183" s="327" t="s">
        <v>515</v>
      </c>
      <c r="Q1183" s="133">
        <v>1037</v>
      </c>
      <c r="R1183" s="327" t="s">
        <v>515</v>
      </c>
      <c r="S1183" s="133">
        <v>958</v>
      </c>
      <c r="T1183" s="327" t="s">
        <v>515</v>
      </c>
      <c r="U1183" s="133">
        <v>1154</v>
      </c>
      <c r="V1183" s="327" t="s">
        <v>515</v>
      </c>
      <c r="W1183" s="133">
        <v>914</v>
      </c>
      <c r="X1183" s="133" t="s">
        <v>515</v>
      </c>
      <c r="Y1183" s="133">
        <v>817</v>
      </c>
      <c r="Z1183" s="327" t="s">
        <v>515</v>
      </c>
      <c r="AA1183" s="133">
        <v>946</v>
      </c>
      <c r="AB1183" s="133" t="s">
        <v>515</v>
      </c>
      <c r="AC1183" s="133">
        <v>725</v>
      </c>
      <c r="AD1183" s="327" t="s">
        <v>515</v>
      </c>
      <c r="AE1183" s="133">
        <v>0</v>
      </c>
      <c r="AF1183" s="133" t="s">
        <v>515</v>
      </c>
      <c r="AG1183" s="133">
        <v>939</v>
      </c>
      <c r="AH1183" s="327" t="s">
        <v>515</v>
      </c>
      <c r="AI1183" s="133">
        <v>1011</v>
      </c>
      <c r="AJ1183" s="133" t="s">
        <v>515</v>
      </c>
      <c r="AK1183" s="133">
        <v>928</v>
      </c>
      <c r="AL1183" s="327" t="s">
        <v>515</v>
      </c>
      <c r="AM1183" s="327">
        <f t="shared" si="29"/>
        <v>10648</v>
      </c>
    </row>
    <row r="1184" spans="1:39" ht="18" customHeight="1" x14ac:dyDescent="0.3">
      <c r="A1184" s="425"/>
      <c r="B1184" s="423"/>
      <c r="C1184" s="11" t="s">
        <v>268</v>
      </c>
      <c r="D1184" s="12" t="s">
        <v>247</v>
      </c>
      <c r="E1184" s="31" t="s">
        <v>48</v>
      </c>
      <c r="F1184" s="23" t="s">
        <v>49</v>
      </c>
      <c r="G1184" s="427"/>
      <c r="H1184" s="133"/>
      <c r="I1184" s="158" t="s">
        <v>1738</v>
      </c>
      <c r="J1184" s="133"/>
      <c r="K1184" s="132" t="s">
        <v>218</v>
      </c>
      <c r="L1184" s="132" t="s">
        <v>218</v>
      </c>
      <c r="M1184" s="12">
        <v>9607</v>
      </c>
      <c r="N1184" s="133">
        <v>10130</v>
      </c>
      <c r="O1184" s="372">
        <v>1208</v>
      </c>
      <c r="P1184" s="327" t="s">
        <v>515</v>
      </c>
      <c r="Q1184" s="133">
        <v>1164</v>
      </c>
      <c r="R1184" s="327" t="s">
        <v>515</v>
      </c>
      <c r="S1184" s="133">
        <v>705</v>
      </c>
      <c r="T1184" s="327" t="s">
        <v>515</v>
      </c>
      <c r="U1184" s="133">
        <v>336</v>
      </c>
      <c r="V1184" s="327" t="s">
        <v>515</v>
      </c>
      <c r="W1184" s="133">
        <v>618</v>
      </c>
      <c r="X1184" s="133" t="s">
        <v>515</v>
      </c>
      <c r="Y1184" s="133">
        <v>605</v>
      </c>
      <c r="Z1184" s="327" t="s">
        <v>515</v>
      </c>
      <c r="AA1184" s="133">
        <v>671</v>
      </c>
      <c r="AB1184" s="133" t="s">
        <v>515</v>
      </c>
      <c r="AC1184" s="133">
        <v>546</v>
      </c>
      <c r="AD1184" s="327" t="s">
        <v>515</v>
      </c>
      <c r="AE1184" s="133">
        <v>1701</v>
      </c>
      <c r="AF1184" s="133" t="s">
        <v>515</v>
      </c>
      <c r="AG1184" s="133">
        <v>839</v>
      </c>
      <c r="AH1184" s="327" t="s">
        <v>515</v>
      </c>
      <c r="AI1184" s="133">
        <v>920</v>
      </c>
      <c r="AJ1184" s="133" t="s">
        <v>515</v>
      </c>
      <c r="AK1184" s="133">
        <v>850</v>
      </c>
      <c r="AL1184" s="327" t="s">
        <v>515</v>
      </c>
      <c r="AM1184" s="327">
        <f t="shared" si="29"/>
        <v>10163</v>
      </c>
    </row>
    <row r="1185" spans="1:39" ht="18" customHeight="1" x14ac:dyDescent="0.3">
      <c r="A1185" s="424">
        <f t="shared" si="30"/>
        <v>774</v>
      </c>
      <c r="B1185" s="422" t="s">
        <v>1617</v>
      </c>
      <c r="C1185" s="11" t="s">
        <v>268</v>
      </c>
      <c r="D1185" s="12" t="s">
        <v>247</v>
      </c>
      <c r="E1185" s="31" t="s">
        <v>144</v>
      </c>
      <c r="F1185" s="23" t="s">
        <v>49</v>
      </c>
      <c r="G1185" s="426" t="s">
        <v>1737</v>
      </c>
      <c r="H1185" s="133"/>
      <c r="I1185" s="158" t="s">
        <v>1738</v>
      </c>
      <c r="J1185" s="133">
        <v>10</v>
      </c>
      <c r="K1185" s="132" t="s">
        <v>218</v>
      </c>
      <c r="L1185" s="132" t="s">
        <v>218</v>
      </c>
      <c r="M1185" s="12">
        <v>28931</v>
      </c>
      <c r="N1185" s="133">
        <v>24934</v>
      </c>
      <c r="O1185" s="372">
        <v>3121</v>
      </c>
      <c r="P1185" s="327" t="s">
        <v>515</v>
      </c>
      <c r="Q1185" s="133">
        <v>2656</v>
      </c>
      <c r="R1185" s="327" t="s">
        <v>515</v>
      </c>
      <c r="S1185" s="133">
        <v>2452</v>
      </c>
      <c r="T1185" s="327" t="s">
        <v>515</v>
      </c>
      <c r="U1185" s="133">
        <v>2957</v>
      </c>
      <c r="V1185" s="327" t="s">
        <v>515</v>
      </c>
      <c r="W1185" s="133">
        <v>1999</v>
      </c>
      <c r="X1185" s="133" t="s">
        <v>515</v>
      </c>
      <c r="Y1185" s="133">
        <v>2094</v>
      </c>
      <c r="Z1185" s="327" t="s">
        <v>515</v>
      </c>
      <c r="AA1185" s="133">
        <v>2423</v>
      </c>
      <c r="AB1185" s="133" t="s">
        <v>515</v>
      </c>
      <c r="AC1185" s="133">
        <v>1858</v>
      </c>
      <c r="AD1185" s="327" t="s">
        <v>515</v>
      </c>
      <c r="AE1185" s="133">
        <v>0</v>
      </c>
      <c r="AF1185" s="133" t="s">
        <v>515</v>
      </c>
      <c r="AG1185" s="133">
        <v>2405</v>
      </c>
      <c r="AH1185" s="327" t="s">
        <v>515</v>
      </c>
      <c r="AI1185" s="133">
        <v>2590</v>
      </c>
      <c r="AJ1185" s="133" t="s">
        <v>515</v>
      </c>
      <c r="AK1185" s="133">
        <v>2377</v>
      </c>
      <c r="AL1185" s="327" t="s">
        <v>515</v>
      </c>
      <c r="AM1185" s="327">
        <f t="shared" si="29"/>
        <v>26932</v>
      </c>
    </row>
    <row r="1186" spans="1:39" ht="18" customHeight="1" x14ac:dyDescent="0.3">
      <c r="A1186" s="425"/>
      <c r="B1186" s="423"/>
      <c r="C1186" s="11" t="s">
        <v>268</v>
      </c>
      <c r="D1186" s="12" t="s">
        <v>247</v>
      </c>
      <c r="E1186" s="31" t="s">
        <v>48</v>
      </c>
      <c r="F1186" s="23" t="s">
        <v>49</v>
      </c>
      <c r="G1186" s="427"/>
      <c r="H1186" s="133"/>
      <c r="I1186" s="158" t="s">
        <v>1738</v>
      </c>
      <c r="J1186" s="133"/>
      <c r="K1186" s="132" t="s">
        <v>218</v>
      </c>
      <c r="L1186" s="132" t="s">
        <v>218</v>
      </c>
      <c r="M1186" s="12">
        <v>24592</v>
      </c>
      <c r="N1186" s="133">
        <v>25932</v>
      </c>
      <c r="O1186" s="372">
        <v>3094</v>
      </c>
      <c r="P1186" s="327" t="s">
        <v>515</v>
      </c>
      <c r="Q1186" s="133">
        <v>2980</v>
      </c>
      <c r="R1186" s="327" t="s">
        <v>515</v>
      </c>
      <c r="S1186" s="133">
        <v>1807</v>
      </c>
      <c r="T1186" s="327" t="s">
        <v>515</v>
      </c>
      <c r="U1186" s="133">
        <v>863</v>
      </c>
      <c r="V1186" s="327" t="s">
        <v>515</v>
      </c>
      <c r="W1186" s="133">
        <v>1582</v>
      </c>
      <c r="X1186" s="133" t="s">
        <v>515</v>
      </c>
      <c r="Y1186" s="133">
        <v>1552</v>
      </c>
      <c r="Z1186" s="327" t="s">
        <v>515</v>
      </c>
      <c r="AA1186" s="133">
        <v>1718</v>
      </c>
      <c r="AB1186" s="133" t="s">
        <v>515</v>
      </c>
      <c r="AC1186" s="133">
        <v>1397</v>
      </c>
      <c r="AD1186" s="327" t="s">
        <v>515</v>
      </c>
      <c r="AE1186" s="133">
        <v>4355</v>
      </c>
      <c r="AF1186" s="133" t="s">
        <v>515</v>
      </c>
      <c r="AG1186" s="133">
        <v>2148</v>
      </c>
      <c r="AH1186" s="327" t="s">
        <v>515</v>
      </c>
      <c r="AI1186" s="133">
        <v>2356</v>
      </c>
      <c r="AJ1186" s="133" t="s">
        <v>515</v>
      </c>
      <c r="AK1186" s="133">
        <v>2177</v>
      </c>
      <c r="AL1186" s="327" t="s">
        <v>515</v>
      </c>
      <c r="AM1186" s="327">
        <f t="shared" si="29"/>
        <v>26029</v>
      </c>
    </row>
    <row r="1187" spans="1:39" ht="18" customHeight="1" x14ac:dyDescent="0.3">
      <c r="A1187" s="424">
        <f t="shared" si="30"/>
        <v>775</v>
      </c>
      <c r="B1187" s="422" t="s">
        <v>1618</v>
      </c>
      <c r="C1187" s="11" t="s">
        <v>268</v>
      </c>
      <c r="D1187" s="12" t="s">
        <v>247</v>
      </c>
      <c r="E1187" s="31" t="s">
        <v>144</v>
      </c>
      <c r="F1187" s="23" t="s">
        <v>49</v>
      </c>
      <c r="G1187" s="426" t="s">
        <v>1737</v>
      </c>
      <c r="H1187" s="133">
        <v>324</v>
      </c>
      <c r="I1187" s="158" t="s">
        <v>1738</v>
      </c>
      <c r="J1187" s="133">
        <v>16</v>
      </c>
      <c r="K1187" s="132" t="s">
        <v>218</v>
      </c>
      <c r="L1187" s="132" t="s">
        <v>218</v>
      </c>
      <c r="M1187" s="12">
        <v>68340</v>
      </c>
      <c r="N1187" s="133">
        <v>63790</v>
      </c>
      <c r="O1187" s="372">
        <v>7440</v>
      </c>
      <c r="P1187" s="327" t="s">
        <v>515</v>
      </c>
      <c r="Q1187" s="133">
        <v>6390</v>
      </c>
      <c r="R1187" s="327" t="s">
        <v>515</v>
      </c>
      <c r="S1187" s="133">
        <v>5860</v>
      </c>
      <c r="T1187" s="327" t="s">
        <v>515</v>
      </c>
      <c r="U1187" s="133">
        <v>4830</v>
      </c>
      <c r="V1187" s="327" t="s">
        <v>515</v>
      </c>
      <c r="W1187" s="133">
        <v>6360</v>
      </c>
      <c r="X1187" s="133" t="s">
        <v>515</v>
      </c>
      <c r="Y1187" s="133">
        <v>5200</v>
      </c>
      <c r="Z1187" s="327" t="s">
        <v>515</v>
      </c>
      <c r="AA1187" s="133">
        <v>5370</v>
      </c>
      <c r="AB1187" s="133" t="s">
        <v>515</v>
      </c>
      <c r="AC1187" s="133">
        <v>4250</v>
      </c>
      <c r="AD1187" s="327" t="s">
        <v>515</v>
      </c>
      <c r="AE1187" s="133">
        <v>0</v>
      </c>
      <c r="AF1187" s="133" t="s">
        <v>515</v>
      </c>
      <c r="AG1187" s="133">
        <v>5870</v>
      </c>
      <c r="AH1187" s="327" t="s">
        <v>515</v>
      </c>
      <c r="AI1187" s="133">
        <v>6570</v>
      </c>
      <c r="AJ1187" s="133" t="s">
        <v>515</v>
      </c>
      <c r="AK1187" s="133">
        <v>5650</v>
      </c>
      <c r="AL1187" s="327" t="s">
        <v>515</v>
      </c>
      <c r="AM1187" s="327">
        <f t="shared" si="29"/>
        <v>63790</v>
      </c>
    </row>
    <row r="1188" spans="1:39" ht="18" customHeight="1" x14ac:dyDescent="0.3">
      <c r="A1188" s="425"/>
      <c r="B1188" s="423"/>
      <c r="C1188" s="11" t="s">
        <v>268</v>
      </c>
      <c r="D1188" s="12" t="s">
        <v>247</v>
      </c>
      <c r="E1188" s="31" t="s">
        <v>48</v>
      </c>
      <c r="F1188" s="23" t="s">
        <v>49</v>
      </c>
      <c r="G1188" s="427"/>
      <c r="H1188" s="133"/>
      <c r="I1188" s="158" t="s">
        <v>1738</v>
      </c>
      <c r="J1188" s="133"/>
      <c r="K1188" s="132" t="s">
        <v>218</v>
      </c>
      <c r="L1188" s="132" t="s">
        <v>218</v>
      </c>
      <c r="M1188" s="12">
        <v>34955</v>
      </c>
      <c r="N1188" s="133">
        <v>42649</v>
      </c>
      <c r="O1188" s="372">
        <v>5312</v>
      </c>
      <c r="P1188" s="327" t="s">
        <v>515</v>
      </c>
      <c r="Q1188" s="133">
        <v>3560</v>
      </c>
      <c r="R1188" s="327" t="s">
        <v>515</v>
      </c>
      <c r="S1188" s="133">
        <v>1852</v>
      </c>
      <c r="T1188" s="327" t="s">
        <v>515</v>
      </c>
      <c r="U1188" s="133">
        <v>1767</v>
      </c>
      <c r="V1188" s="327" t="s">
        <v>515</v>
      </c>
      <c r="W1188" s="133">
        <v>2483</v>
      </c>
      <c r="X1188" s="133" t="s">
        <v>515</v>
      </c>
      <c r="Y1188" s="133">
        <v>2070</v>
      </c>
      <c r="Z1188" s="327" t="s">
        <v>515</v>
      </c>
      <c r="AA1188" s="133">
        <v>1880</v>
      </c>
      <c r="AB1188" s="133" t="s">
        <v>515</v>
      </c>
      <c r="AC1188" s="133">
        <v>1467</v>
      </c>
      <c r="AD1188" s="327" t="s">
        <v>515</v>
      </c>
      <c r="AE1188" s="133">
        <v>8296</v>
      </c>
      <c r="AF1188" s="133" t="s">
        <v>515</v>
      </c>
      <c r="AG1188" s="133">
        <v>3437</v>
      </c>
      <c r="AH1188" s="327" t="s">
        <v>515</v>
      </c>
      <c r="AI1188" s="133">
        <v>4422</v>
      </c>
      <c r="AJ1188" s="133" t="s">
        <v>515</v>
      </c>
      <c r="AK1188" s="133">
        <v>3912</v>
      </c>
      <c r="AL1188" s="327" t="s">
        <v>515</v>
      </c>
      <c r="AM1188" s="327">
        <f t="shared" si="29"/>
        <v>40458</v>
      </c>
    </row>
    <row r="1189" spans="1:39" ht="18" customHeight="1" x14ac:dyDescent="0.3">
      <c r="A1189" s="28"/>
      <c r="B1189" s="13"/>
      <c r="C1189" s="136"/>
      <c r="D1189" s="162"/>
      <c r="E1189" s="52"/>
      <c r="F1189" s="48"/>
      <c r="G1189" s="376"/>
      <c r="H1189" s="136"/>
      <c r="I1189" s="162"/>
      <c r="J1189" s="136"/>
      <c r="K1189" s="363"/>
      <c r="L1189" s="363"/>
      <c r="M1189" s="49"/>
      <c r="N1189" s="363"/>
      <c r="O1189" s="373"/>
      <c r="P1189" s="363"/>
      <c r="Q1189" s="363"/>
      <c r="R1189" s="363"/>
      <c r="S1189" s="363"/>
      <c r="T1189" s="363"/>
      <c r="U1189" s="363"/>
      <c r="V1189" s="363"/>
      <c r="W1189" s="363"/>
      <c r="X1189" s="363"/>
      <c r="Y1189" s="363"/>
      <c r="Z1189" s="363"/>
      <c r="AA1189" s="363"/>
      <c r="AB1189" s="363"/>
      <c r="AC1189" s="363"/>
      <c r="AD1189" s="363"/>
      <c r="AE1189" s="363"/>
      <c r="AF1189" s="363"/>
      <c r="AG1189" s="363"/>
      <c r="AH1189" s="363"/>
      <c r="AI1189" s="363"/>
      <c r="AJ1189" s="363"/>
      <c r="AK1189" s="363"/>
      <c r="AL1189" s="363"/>
      <c r="AM1189" s="363"/>
    </row>
    <row r="1190" spans="1:39" ht="18" customHeight="1" x14ac:dyDescent="0.3">
      <c r="A1190" s="28"/>
      <c r="B1190" s="13"/>
      <c r="C1190" s="136"/>
      <c r="D1190" s="162"/>
      <c r="E1190" s="52"/>
      <c r="F1190" s="48"/>
      <c r="G1190" s="376"/>
      <c r="H1190" s="136"/>
      <c r="I1190" s="162"/>
      <c r="J1190" s="136"/>
      <c r="K1190" s="363"/>
      <c r="L1190" s="363"/>
      <c r="M1190" s="49"/>
      <c r="N1190" s="363"/>
      <c r="O1190" s="373"/>
      <c r="P1190" s="363"/>
      <c r="Q1190" s="363"/>
      <c r="R1190" s="363"/>
      <c r="S1190" s="363"/>
      <c r="T1190" s="363"/>
      <c r="U1190" s="363"/>
      <c r="V1190" s="363"/>
      <c r="W1190" s="363"/>
      <c r="X1190" s="363"/>
      <c r="Y1190" s="363"/>
      <c r="Z1190" s="363"/>
      <c r="AA1190" s="363"/>
      <c r="AB1190" s="363"/>
      <c r="AC1190" s="363"/>
      <c r="AD1190" s="363"/>
      <c r="AE1190" s="363"/>
      <c r="AF1190" s="363"/>
      <c r="AG1190" s="363"/>
      <c r="AH1190" s="363"/>
      <c r="AI1190" s="363"/>
      <c r="AJ1190" s="363"/>
      <c r="AK1190" s="363"/>
      <c r="AL1190" s="363"/>
      <c r="AM1190" s="363"/>
    </row>
    <row r="1191" spans="1:39" ht="18" customHeight="1" x14ac:dyDescent="0.25">
      <c r="A1191" s="16"/>
      <c r="B1191" s="16"/>
      <c r="C1191" s="137" t="s">
        <v>30</v>
      </c>
      <c r="E1191" s="14"/>
    </row>
    <row r="1192" spans="1:39" ht="18" customHeight="1" x14ac:dyDescent="0.25">
      <c r="A1192" s="51"/>
      <c r="B1192" s="50"/>
      <c r="C1192" s="434" t="s">
        <v>127</v>
      </c>
      <c r="D1192" s="434"/>
      <c r="E1192" s="434"/>
      <c r="F1192" s="434"/>
    </row>
    <row r="1193" spans="1:39" ht="18" customHeight="1" x14ac:dyDescent="0.25">
      <c r="A1193" s="15"/>
      <c r="E1193" s="15"/>
    </row>
    <row r="1194" spans="1:39" ht="18" customHeight="1" x14ac:dyDescent="0.25">
      <c r="A1194" s="20"/>
      <c r="E1194" s="15"/>
    </row>
    <row r="1195" spans="1:39" ht="18" customHeight="1" x14ac:dyDescent="0.25">
      <c r="A1195" s="15"/>
      <c r="E1195" s="15"/>
    </row>
    <row r="1196" spans="1:39" ht="18" customHeight="1" x14ac:dyDescent="0.25">
      <c r="A1196" s="15"/>
      <c r="E1196" s="15"/>
    </row>
    <row r="1197" spans="1:39" ht="18" customHeight="1" x14ac:dyDescent="0.25">
      <c r="A1197" s="15" t="s">
        <v>27</v>
      </c>
    </row>
    <row r="1198" spans="1:39" ht="18" customHeight="1" x14ac:dyDescent="0.25">
      <c r="A1198" s="15" t="s">
        <v>28</v>
      </c>
      <c r="E1198" s="15"/>
    </row>
    <row r="1199" spans="1:39" ht="18" customHeight="1" x14ac:dyDescent="0.25">
      <c r="A1199" s="15" t="s">
        <v>29</v>
      </c>
      <c r="E1199" s="15"/>
    </row>
    <row r="1200" spans="1:39" ht="18" customHeight="1" x14ac:dyDescent="0.25">
      <c r="E1200" s="15"/>
    </row>
    <row r="1201" spans="5:5" ht="18" customHeight="1" x14ac:dyDescent="0.25">
      <c r="E1201" s="15"/>
    </row>
  </sheetData>
  <mergeCells count="995">
    <mergeCell ref="B553:B554"/>
    <mergeCell ref="B555:B556"/>
    <mergeCell ref="B557:B558"/>
    <mergeCell ref="B559:B560"/>
    <mergeCell ref="A553:A554"/>
    <mergeCell ref="A555:A556"/>
    <mergeCell ref="A557:A558"/>
    <mergeCell ref="A559:A560"/>
    <mergeCell ref="A933:A934"/>
    <mergeCell ref="B543:B544"/>
    <mergeCell ref="B545:B546"/>
    <mergeCell ref="B547:B548"/>
    <mergeCell ref="B549:B550"/>
    <mergeCell ref="B551:B552"/>
    <mergeCell ref="B525:B526"/>
    <mergeCell ref="B527:B528"/>
    <mergeCell ref="B529:B530"/>
    <mergeCell ref="B531:B532"/>
    <mergeCell ref="B533:B534"/>
    <mergeCell ref="B535:B536"/>
    <mergeCell ref="B537:B538"/>
    <mergeCell ref="B539:B540"/>
    <mergeCell ref="B541:B542"/>
    <mergeCell ref="B507:B508"/>
    <mergeCell ref="B509:B510"/>
    <mergeCell ref="B511:B512"/>
    <mergeCell ref="B513:B514"/>
    <mergeCell ref="B515:B516"/>
    <mergeCell ref="B517:B518"/>
    <mergeCell ref="B519:B520"/>
    <mergeCell ref="B521:B522"/>
    <mergeCell ref="B523:B524"/>
    <mergeCell ref="B489:B490"/>
    <mergeCell ref="B491:B492"/>
    <mergeCell ref="B493:B494"/>
    <mergeCell ref="B495:B496"/>
    <mergeCell ref="B497:B498"/>
    <mergeCell ref="B499:B500"/>
    <mergeCell ref="B501:B502"/>
    <mergeCell ref="B503:B504"/>
    <mergeCell ref="B505:B506"/>
    <mergeCell ref="B471:B472"/>
    <mergeCell ref="B473:B474"/>
    <mergeCell ref="B475:B476"/>
    <mergeCell ref="B477:B478"/>
    <mergeCell ref="B479:B480"/>
    <mergeCell ref="B481:B482"/>
    <mergeCell ref="B483:B484"/>
    <mergeCell ref="B485:B486"/>
    <mergeCell ref="B487:B488"/>
    <mergeCell ref="B449:B450"/>
    <mergeCell ref="B451:B452"/>
    <mergeCell ref="B61:B62"/>
    <mergeCell ref="B59:B60"/>
    <mergeCell ref="B57:B58"/>
    <mergeCell ref="B55:B56"/>
    <mergeCell ref="B53:B54"/>
    <mergeCell ref="B39:B40"/>
    <mergeCell ref="B41:B42"/>
    <mergeCell ref="B43:B44"/>
    <mergeCell ref="B45:B46"/>
    <mergeCell ref="B85:B86"/>
    <mergeCell ref="B83:B84"/>
    <mergeCell ref="B81:B82"/>
    <mergeCell ref="B79:B80"/>
    <mergeCell ref="B77:B78"/>
    <mergeCell ref="B75:B76"/>
    <mergeCell ref="B73:B74"/>
    <mergeCell ref="B71:B72"/>
    <mergeCell ref="B69:B70"/>
    <mergeCell ref="B67:B68"/>
    <mergeCell ref="B65:B66"/>
    <mergeCell ref="B63:B64"/>
    <mergeCell ref="B51:B52"/>
    <mergeCell ref="B49:B50"/>
    <mergeCell ref="B47:B48"/>
    <mergeCell ref="A449:A450"/>
    <mergeCell ref="A451:A452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A443:A444"/>
    <mergeCell ref="B443:B444"/>
    <mergeCell ref="A445:A446"/>
    <mergeCell ref="B445:B446"/>
    <mergeCell ref="A447:A448"/>
    <mergeCell ref="B447:B448"/>
    <mergeCell ref="A437:A438"/>
    <mergeCell ref="B437:B438"/>
    <mergeCell ref="A439:A440"/>
    <mergeCell ref="B439:B440"/>
    <mergeCell ref="A441:A442"/>
    <mergeCell ref="B441:B442"/>
    <mergeCell ref="A431:A432"/>
    <mergeCell ref="B431:B432"/>
    <mergeCell ref="A433:A434"/>
    <mergeCell ref="B433:B434"/>
    <mergeCell ref="A435:A436"/>
    <mergeCell ref="B435:B436"/>
    <mergeCell ref="A425:A426"/>
    <mergeCell ref="B425:B426"/>
    <mergeCell ref="A427:A428"/>
    <mergeCell ref="B427:B428"/>
    <mergeCell ref="A429:A430"/>
    <mergeCell ref="B429:B430"/>
    <mergeCell ref="A419:A420"/>
    <mergeCell ref="B419:B420"/>
    <mergeCell ref="A421:A422"/>
    <mergeCell ref="B421:B422"/>
    <mergeCell ref="A423:A424"/>
    <mergeCell ref="B423:B424"/>
    <mergeCell ref="A413:A414"/>
    <mergeCell ref="B413:B414"/>
    <mergeCell ref="A415:A416"/>
    <mergeCell ref="B415:B416"/>
    <mergeCell ref="A417:A418"/>
    <mergeCell ref="B417:B418"/>
    <mergeCell ref="A407:A408"/>
    <mergeCell ref="B407:B408"/>
    <mergeCell ref="A409:A410"/>
    <mergeCell ref="B409:B410"/>
    <mergeCell ref="A411:A412"/>
    <mergeCell ref="B411:B412"/>
    <mergeCell ref="A401:A402"/>
    <mergeCell ref="B401:B402"/>
    <mergeCell ref="A403:A404"/>
    <mergeCell ref="B403:B404"/>
    <mergeCell ref="A405:A406"/>
    <mergeCell ref="B405:B406"/>
    <mergeCell ref="A395:A396"/>
    <mergeCell ref="B395:B396"/>
    <mergeCell ref="A397:A398"/>
    <mergeCell ref="B397:B398"/>
    <mergeCell ref="A399:A400"/>
    <mergeCell ref="B399:B400"/>
    <mergeCell ref="A389:A390"/>
    <mergeCell ref="B389:B390"/>
    <mergeCell ref="A391:A392"/>
    <mergeCell ref="B391:B392"/>
    <mergeCell ref="A393:A394"/>
    <mergeCell ref="B393:B394"/>
    <mergeCell ref="A383:A384"/>
    <mergeCell ref="B383:B384"/>
    <mergeCell ref="A385:A386"/>
    <mergeCell ref="B385:B386"/>
    <mergeCell ref="A387:A388"/>
    <mergeCell ref="B387:B388"/>
    <mergeCell ref="A377:A378"/>
    <mergeCell ref="B377:B378"/>
    <mergeCell ref="A379:A380"/>
    <mergeCell ref="B379:B380"/>
    <mergeCell ref="A381:A382"/>
    <mergeCell ref="B381:B382"/>
    <mergeCell ref="A371:A372"/>
    <mergeCell ref="B371:B372"/>
    <mergeCell ref="A373:A374"/>
    <mergeCell ref="B373:B374"/>
    <mergeCell ref="A375:A376"/>
    <mergeCell ref="B375:B376"/>
    <mergeCell ref="AJ367:AJ368"/>
    <mergeCell ref="AK367:AK368"/>
    <mergeCell ref="AL367:AL368"/>
    <mergeCell ref="AM367:AM368"/>
    <mergeCell ref="A369:A370"/>
    <mergeCell ref="B369:B370"/>
    <mergeCell ref="AE367:AE368"/>
    <mergeCell ref="AF367:AF368"/>
    <mergeCell ref="AG367:AG368"/>
    <mergeCell ref="AH367:AH368"/>
    <mergeCell ref="AI367:AI368"/>
    <mergeCell ref="Z367:Z368"/>
    <mergeCell ref="AA367:AA368"/>
    <mergeCell ref="AB367:AB368"/>
    <mergeCell ref="AC367:AC368"/>
    <mergeCell ref="AD367:AD368"/>
    <mergeCell ref="U367:U368"/>
    <mergeCell ref="V367:V368"/>
    <mergeCell ref="W367:W368"/>
    <mergeCell ref="X367:X368"/>
    <mergeCell ref="Y367:Y368"/>
    <mergeCell ref="P367:P368"/>
    <mergeCell ref="Q367:Q368"/>
    <mergeCell ref="R367:R368"/>
    <mergeCell ref="S367:S368"/>
    <mergeCell ref="T367:T368"/>
    <mergeCell ref="K367:K368"/>
    <mergeCell ref="L367:L368"/>
    <mergeCell ref="M367:M368"/>
    <mergeCell ref="N367:N368"/>
    <mergeCell ref="O367:O368"/>
    <mergeCell ref="A363:A364"/>
    <mergeCell ref="B363:B364"/>
    <mergeCell ref="A365:A366"/>
    <mergeCell ref="B365:B366"/>
    <mergeCell ref="A367:A368"/>
    <mergeCell ref="B367:B368"/>
    <mergeCell ref="A357:A358"/>
    <mergeCell ref="B357:B358"/>
    <mergeCell ref="A359:A360"/>
    <mergeCell ref="B359:B360"/>
    <mergeCell ref="A361:A362"/>
    <mergeCell ref="B361:B362"/>
    <mergeCell ref="A351:A352"/>
    <mergeCell ref="B351:B352"/>
    <mergeCell ref="A353:A354"/>
    <mergeCell ref="B353:B354"/>
    <mergeCell ref="A355:A356"/>
    <mergeCell ref="B355:B356"/>
    <mergeCell ref="A345:A346"/>
    <mergeCell ref="B345:B346"/>
    <mergeCell ref="A347:A348"/>
    <mergeCell ref="B347:B348"/>
    <mergeCell ref="A349:A350"/>
    <mergeCell ref="B349:B350"/>
    <mergeCell ref="A339:A340"/>
    <mergeCell ref="B339:B340"/>
    <mergeCell ref="A341:A342"/>
    <mergeCell ref="B341:B342"/>
    <mergeCell ref="A343:A344"/>
    <mergeCell ref="B343:B344"/>
    <mergeCell ref="A333:A334"/>
    <mergeCell ref="B333:B334"/>
    <mergeCell ref="A335:A336"/>
    <mergeCell ref="B335:B336"/>
    <mergeCell ref="A337:A338"/>
    <mergeCell ref="B337:B338"/>
    <mergeCell ref="A327:A328"/>
    <mergeCell ref="B327:B328"/>
    <mergeCell ref="A329:A330"/>
    <mergeCell ref="B329:B330"/>
    <mergeCell ref="A331:A332"/>
    <mergeCell ref="B331:B332"/>
    <mergeCell ref="A321:A322"/>
    <mergeCell ref="B321:B322"/>
    <mergeCell ref="A323:A324"/>
    <mergeCell ref="B323:B324"/>
    <mergeCell ref="A325:A326"/>
    <mergeCell ref="B325:B326"/>
    <mergeCell ref="A315:A316"/>
    <mergeCell ref="B315:B316"/>
    <mergeCell ref="A317:A318"/>
    <mergeCell ref="B317:B318"/>
    <mergeCell ref="A319:A320"/>
    <mergeCell ref="B319:B320"/>
    <mergeCell ref="A309:A310"/>
    <mergeCell ref="B309:B310"/>
    <mergeCell ref="A311:A312"/>
    <mergeCell ref="B311:B312"/>
    <mergeCell ref="A313:A314"/>
    <mergeCell ref="B313:B314"/>
    <mergeCell ref="A303:A304"/>
    <mergeCell ref="B303:B304"/>
    <mergeCell ref="A305:A306"/>
    <mergeCell ref="B305:B306"/>
    <mergeCell ref="A307:A308"/>
    <mergeCell ref="B307:B308"/>
    <mergeCell ref="A297:A298"/>
    <mergeCell ref="B297:B298"/>
    <mergeCell ref="A299:A300"/>
    <mergeCell ref="B299:B300"/>
    <mergeCell ref="A301:A302"/>
    <mergeCell ref="B301:B302"/>
    <mergeCell ref="A291:A292"/>
    <mergeCell ref="B291:B292"/>
    <mergeCell ref="A293:A294"/>
    <mergeCell ref="B293:B294"/>
    <mergeCell ref="A295:A296"/>
    <mergeCell ref="B295:B296"/>
    <mergeCell ref="A285:A286"/>
    <mergeCell ref="B285:B286"/>
    <mergeCell ref="A287:A288"/>
    <mergeCell ref="B287:B288"/>
    <mergeCell ref="A289:A290"/>
    <mergeCell ref="B289:B290"/>
    <mergeCell ref="A279:A280"/>
    <mergeCell ref="B279:B280"/>
    <mergeCell ref="A281:A282"/>
    <mergeCell ref="B281:B282"/>
    <mergeCell ref="A283:A284"/>
    <mergeCell ref="B283:B284"/>
    <mergeCell ref="A273:A274"/>
    <mergeCell ref="B273:B274"/>
    <mergeCell ref="A275:A276"/>
    <mergeCell ref="B275:B276"/>
    <mergeCell ref="A277:A278"/>
    <mergeCell ref="B277:B278"/>
    <mergeCell ref="A267:A268"/>
    <mergeCell ref="B267:B268"/>
    <mergeCell ref="A269:A270"/>
    <mergeCell ref="B269:B270"/>
    <mergeCell ref="A271:A272"/>
    <mergeCell ref="B271:B272"/>
    <mergeCell ref="A261:A262"/>
    <mergeCell ref="B261:B262"/>
    <mergeCell ref="A263:A264"/>
    <mergeCell ref="B263:B264"/>
    <mergeCell ref="A265:A266"/>
    <mergeCell ref="B265:B266"/>
    <mergeCell ref="A255:A256"/>
    <mergeCell ref="B255:B256"/>
    <mergeCell ref="A257:A258"/>
    <mergeCell ref="B257:B258"/>
    <mergeCell ref="A259:A260"/>
    <mergeCell ref="B259:B260"/>
    <mergeCell ref="A249:A250"/>
    <mergeCell ref="B249:B250"/>
    <mergeCell ref="A251:A252"/>
    <mergeCell ref="B251:B252"/>
    <mergeCell ref="A253:A254"/>
    <mergeCell ref="B253:B254"/>
    <mergeCell ref="A243:A244"/>
    <mergeCell ref="B243:B244"/>
    <mergeCell ref="A245:A246"/>
    <mergeCell ref="B245:B246"/>
    <mergeCell ref="A247:A248"/>
    <mergeCell ref="B247:B248"/>
    <mergeCell ref="A237:A238"/>
    <mergeCell ref="B237:B238"/>
    <mergeCell ref="A239:A240"/>
    <mergeCell ref="B239:B240"/>
    <mergeCell ref="A241:A242"/>
    <mergeCell ref="B241:B242"/>
    <mergeCell ref="A231:A232"/>
    <mergeCell ref="B231:B232"/>
    <mergeCell ref="A233:A234"/>
    <mergeCell ref="B233:B234"/>
    <mergeCell ref="A235:A236"/>
    <mergeCell ref="B235:B236"/>
    <mergeCell ref="A225:A226"/>
    <mergeCell ref="B225:B226"/>
    <mergeCell ref="A227:A228"/>
    <mergeCell ref="B227:B228"/>
    <mergeCell ref="A229:A230"/>
    <mergeCell ref="B229:B230"/>
    <mergeCell ref="A219:A220"/>
    <mergeCell ref="B219:B220"/>
    <mergeCell ref="A221:A222"/>
    <mergeCell ref="B221:B222"/>
    <mergeCell ref="A223:A224"/>
    <mergeCell ref="B223:B224"/>
    <mergeCell ref="A213:A214"/>
    <mergeCell ref="B213:B214"/>
    <mergeCell ref="A215:A216"/>
    <mergeCell ref="B215:B216"/>
    <mergeCell ref="A217:A218"/>
    <mergeCell ref="B217:B218"/>
    <mergeCell ref="A207:A208"/>
    <mergeCell ref="B207:B208"/>
    <mergeCell ref="A209:A210"/>
    <mergeCell ref="B209:B210"/>
    <mergeCell ref="A211:A212"/>
    <mergeCell ref="B211:B212"/>
    <mergeCell ref="A201:A202"/>
    <mergeCell ref="B201:B202"/>
    <mergeCell ref="A203:A204"/>
    <mergeCell ref="B203:B204"/>
    <mergeCell ref="A205:A206"/>
    <mergeCell ref="B205:B206"/>
    <mergeCell ref="A195:A196"/>
    <mergeCell ref="B195:B196"/>
    <mergeCell ref="A197:A198"/>
    <mergeCell ref="B197:B198"/>
    <mergeCell ref="A199:A200"/>
    <mergeCell ref="B199:B200"/>
    <mergeCell ref="A189:A190"/>
    <mergeCell ref="B189:B190"/>
    <mergeCell ref="A191:A192"/>
    <mergeCell ref="B191:B192"/>
    <mergeCell ref="A193:A194"/>
    <mergeCell ref="B193:B194"/>
    <mergeCell ref="A183:A184"/>
    <mergeCell ref="B183:B184"/>
    <mergeCell ref="A185:A186"/>
    <mergeCell ref="B185:B186"/>
    <mergeCell ref="A187:A188"/>
    <mergeCell ref="B187:B188"/>
    <mergeCell ref="A177:A178"/>
    <mergeCell ref="B177:B178"/>
    <mergeCell ref="A179:A180"/>
    <mergeCell ref="B179:B180"/>
    <mergeCell ref="A181:A182"/>
    <mergeCell ref="B181:B182"/>
    <mergeCell ref="A171:A172"/>
    <mergeCell ref="B171:B172"/>
    <mergeCell ref="A173:A174"/>
    <mergeCell ref="B173:B174"/>
    <mergeCell ref="A175:A176"/>
    <mergeCell ref="B175:B176"/>
    <mergeCell ref="B165:B166"/>
    <mergeCell ref="A167:A168"/>
    <mergeCell ref="B167:B168"/>
    <mergeCell ref="A169:A170"/>
    <mergeCell ref="B169:B170"/>
    <mergeCell ref="A159:A160"/>
    <mergeCell ref="B159:B160"/>
    <mergeCell ref="A161:A162"/>
    <mergeCell ref="B161:B162"/>
    <mergeCell ref="A163:A164"/>
    <mergeCell ref="B163:B164"/>
    <mergeCell ref="B153:B154"/>
    <mergeCell ref="A155:A156"/>
    <mergeCell ref="B155:B156"/>
    <mergeCell ref="A157:A158"/>
    <mergeCell ref="B157:B158"/>
    <mergeCell ref="A147:A148"/>
    <mergeCell ref="B147:B148"/>
    <mergeCell ref="A149:A150"/>
    <mergeCell ref="B149:B150"/>
    <mergeCell ref="A151:A152"/>
    <mergeCell ref="B151:B152"/>
    <mergeCell ref="B141:B142"/>
    <mergeCell ref="A143:A144"/>
    <mergeCell ref="B143:B144"/>
    <mergeCell ref="A145:A146"/>
    <mergeCell ref="B145:B146"/>
    <mergeCell ref="A135:A136"/>
    <mergeCell ref="B135:B136"/>
    <mergeCell ref="A137:A138"/>
    <mergeCell ref="B137:B138"/>
    <mergeCell ref="A139:A140"/>
    <mergeCell ref="B139:B140"/>
    <mergeCell ref="B129:B130"/>
    <mergeCell ref="A131:A132"/>
    <mergeCell ref="B131:B132"/>
    <mergeCell ref="A133:A134"/>
    <mergeCell ref="B133:B134"/>
    <mergeCell ref="A123:A124"/>
    <mergeCell ref="B123:B124"/>
    <mergeCell ref="A125:A126"/>
    <mergeCell ref="B125:B126"/>
    <mergeCell ref="A127:A128"/>
    <mergeCell ref="B127:B128"/>
    <mergeCell ref="B117:B118"/>
    <mergeCell ref="A119:A120"/>
    <mergeCell ref="B119:B120"/>
    <mergeCell ref="A121:A122"/>
    <mergeCell ref="B121:B122"/>
    <mergeCell ref="A111:A112"/>
    <mergeCell ref="B111:B112"/>
    <mergeCell ref="A113:A114"/>
    <mergeCell ref="B113:B114"/>
    <mergeCell ref="A115:A116"/>
    <mergeCell ref="B115:B116"/>
    <mergeCell ref="B105:B106"/>
    <mergeCell ref="A107:A108"/>
    <mergeCell ref="B107:B108"/>
    <mergeCell ref="A109:A110"/>
    <mergeCell ref="B109:B110"/>
    <mergeCell ref="A99:A100"/>
    <mergeCell ref="B99:B100"/>
    <mergeCell ref="A101:A102"/>
    <mergeCell ref="B101:B102"/>
    <mergeCell ref="A103:A104"/>
    <mergeCell ref="B103:B104"/>
    <mergeCell ref="B93:B94"/>
    <mergeCell ref="A95:A96"/>
    <mergeCell ref="B95:B96"/>
    <mergeCell ref="A97:A98"/>
    <mergeCell ref="B97:B98"/>
    <mergeCell ref="A87:A88"/>
    <mergeCell ref="B87:B88"/>
    <mergeCell ref="A89:A90"/>
    <mergeCell ref="B89:B90"/>
    <mergeCell ref="A91:A92"/>
    <mergeCell ref="B91:B92"/>
    <mergeCell ref="F5:F9"/>
    <mergeCell ref="M5:AM5"/>
    <mergeCell ref="M6:M8"/>
    <mergeCell ref="N6:N8"/>
    <mergeCell ref="O6:AM6"/>
    <mergeCell ref="O7:P8"/>
    <mergeCell ref="Q7:R8"/>
    <mergeCell ref="S7:T8"/>
    <mergeCell ref="U7:V8"/>
    <mergeCell ref="W7:X8"/>
    <mergeCell ref="AG7:AH8"/>
    <mergeCell ref="L5:L9"/>
    <mergeCell ref="G5:H6"/>
    <mergeCell ref="AA7:AB8"/>
    <mergeCell ref="AC7:AD8"/>
    <mergeCell ref="AE7:AF8"/>
    <mergeCell ref="AK7:AL8"/>
    <mergeCell ref="AM7:AM8"/>
    <mergeCell ref="K5:K9"/>
    <mergeCell ref="G7:G9"/>
    <mergeCell ref="H7:H9"/>
    <mergeCell ref="I7:I9"/>
    <mergeCell ref="J7:J9"/>
    <mergeCell ref="Y7:Z8"/>
    <mergeCell ref="AI7:AJ8"/>
    <mergeCell ref="I5:J6"/>
    <mergeCell ref="C1192:F1192"/>
    <mergeCell ref="A21:A22"/>
    <mergeCell ref="A23:A24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477:A478"/>
    <mergeCell ref="C5:C9"/>
    <mergeCell ref="D5:D9"/>
    <mergeCell ref="E5:E9"/>
    <mergeCell ref="A17:A18"/>
    <mergeCell ref="A19:A20"/>
    <mergeCell ref="B5:B9"/>
    <mergeCell ref="A11:A12"/>
    <mergeCell ref="A13:A14"/>
    <mergeCell ref="A15:A16"/>
    <mergeCell ref="A5:A9"/>
    <mergeCell ref="A479:A480"/>
    <mergeCell ref="A481:A482"/>
    <mergeCell ref="A483:A484"/>
    <mergeCell ref="A485:A486"/>
    <mergeCell ref="A487:A488"/>
    <mergeCell ref="A71:A72"/>
    <mergeCell ref="A73:A74"/>
    <mergeCell ref="A85:A86"/>
    <mergeCell ref="A75:A76"/>
    <mergeCell ref="A77:A78"/>
    <mergeCell ref="A79:A80"/>
    <mergeCell ref="A81:A82"/>
    <mergeCell ref="A83:A84"/>
    <mergeCell ref="A93:A94"/>
    <mergeCell ref="A105:A106"/>
    <mergeCell ref="A117:A118"/>
    <mergeCell ref="A129:A130"/>
    <mergeCell ref="A141:A142"/>
    <mergeCell ref="A153:A154"/>
    <mergeCell ref="A165:A166"/>
    <mergeCell ref="A489:A490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513:A514"/>
    <mergeCell ref="A515:A516"/>
    <mergeCell ref="A517:A518"/>
    <mergeCell ref="A519:A520"/>
    <mergeCell ref="A521:A522"/>
    <mergeCell ref="A523:A524"/>
    <mergeCell ref="A525:A526"/>
    <mergeCell ref="A491:A492"/>
    <mergeCell ref="A493:A494"/>
    <mergeCell ref="A495:A496"/>
    <mergeCell ref="A497:A498"/>
    <mergeCell ref="A499:A500"/>
    <mergeCell ref="A501:A502"/>
    <mergeCell ref="A503:A504"/>
    <mergeCell ref="A505:A506"/>
    <mergeCell ref="A507:A508"/>
    <mergeCell ref="A545:A546"/>
    <mergeCell ref="A547:A548"/>
    <mergeCell ref="A549:A550"/>
    <mergeCell ref="A551:A552"/>
    <mergeCell ref="B453:B454"/>
    <mergeCell ref="B455:B456"/>
    <mergeCell ref="B457:B458"/>
    <mergeCell ref="B459:B460"/>
    <mergeCell ref="B461:B462"/>
    <mergeCell ref="B463:B464"/>
    <mergeCell ref="B465:B466"/>
    <mergeCell ref="B467:B468"/>
    <mergeCell ref="B469:B470"/>
    <mergeCell ref="A527:A528"/>
    <mergeCell ref="A529:A530"/>
    <mergeCell ref="A531:A532"/>
    <mergeCell ref="A533:A534"/>
    <mergeCell ref="A535:A536"/>
    <mergeCell ref="A537:A538"/>
    <mergeCell ref="A539:A540"/>
    <mergeCell ref="A541:A542"/>
    <mergeCell ref="A543:A544"/>
    <mergeCell ref="A509:A510"/>
    <mergeCell ref="A511:A512"/>
    <mergeCell ref="G933:G934"/>
    <mergeCell ref="A935:A936"/>
    <mergeCell ref="G935:G936"/>
    <mergeCell ref="A937:A938"/>
    <mergeCell ref="G937:G938"/>
    <mergeCell ref="A939:A940"/>
    <mergeCell ref="G939:G940"/>
    <mergeCell ref="A941:A942"/>
    <mergeCell ref="G941:G942"/>
    <mergeCell ref="G943:G944"/>
    <mergeCell ref="A945:A946"/>
    <mergeCell ref="G945:G946"/>
    <mergeCell ref="A947:A948"/>
    <mergeCell ref="G947:G948"/>
    <mergeCell ref="A949:A950"/>
    <mergeCell ref="G949:G950"/>
    <mergeCell ref="A951:A952"/>
    <mergeCell ref="G951:G952"/>
    <mergeCell ref="A943:A944"/>
    <mergeCell ref="G953:G954"/>
    <mergeCell ref="A955:A956"/>
    <mergeCell ref="G955:G956"/>
    <mergeCell ref="A957:A958"/>
    <mergeCell ref="G957:G958"/>
    <mergeCell ref="A959:A960"/>
    <mergeCell ref="G959:G960"/>
    <mergeCell ref="A961:A962"/>
    <mergeCell ref="G961:G962"/>
    <mergeCell ref="A953:A954"/>
    <mergeCell ref="G963:G964"/>
    <mergeCell ref="A965:A966"/>
    <mergeCell ref="G965:G966"/>
    <mergeCell ref="A967:A968"/>
    <mergeCell ref="G967:G968"/>
    <mergeCell ref="A969:A970"/>
    <mergeCell ref="G969:G970"/>
    <mergeCell ref="A971:A972"/>
    <mergeCell ref="G971:G972"/>
    <mergeCell ref="B969:B970"/>
    <mergeCell ref="B971:B972"/>
    <mergeCell ref="A963:A964"/>
    <mergeCell ref="G973:G974"/>
    <mergeCell ref="A975:A976"/>
    <mergeCell ref="G975:G976"/>
    <mergeCell ref="A977:A978"/>
    <mergeCell ref="G977:G978"/>
    <mergeCell ref="A979:A980"/>
    <mergeCell ref="G979:G980"/>
    <mergeCell ref="A981:A982"/>
    <mergeCell ref="G981:G982"/>
    <mergeCell ref="B973:B974"/>
    <mergeCell ref="B975:B976"/>
    <mergeCell ref="B977:B978"/>
    <mergeCell ref="B979:B980"/>
    <mergeCell ref="B981:B982"/>
    <mergeCell ref="A973:A974"/>
    <mergeCell ref="G983:G984"/>
    <mergeCell ref="A985:A986"/>
    <mergeCell ref="G985:G986"/>
    <mergeCell ref="A987:A988"/>
    <mergeCell ref="G987:G988"/>
    <mergeCell ref="A989:A990"/>
    <mergeCell ref="G989:G990"/>
    <mergeCell ref="A991:A992"/>
    <mergeCell ref="G991:G992"/>
    <mergeCell ref="B983:B984"/>
    <mergeCell ref="B985:B986"/>
    <mergeCell ref="B987:B988"/>
    <mergeCell ref="B989:B990"/>
    <mergeCell ref="B991:B992"/>
    <mergeCell ref="A983:A984"/>
    <mergeCell ref="G993:G994"/>
    <mergeCell ref="A995:A996"/>
    <mergeCell ref="G995:G996"/>
    <mergeCell ref="A997:A998"/>
    <mergeCell ref="G997:G998"/>
    <mergeCell ref="A999:A1000"/>
    <mergeCell ref="G999:G1000"/>
    <mergeCell ref="A1001:A1002"/>
    <mergeCell ref="G1001:G1002"/>
    <mergeCell ref="B993:B994"/>
    <mergeCell ref="B995:B996"/>
    <mergeCell ref="B997:B998"/>
    <mergeCell ref="B999:B1000"/>
    <mergeCell ref="B1001:B1002"/>
    <mergeCell ref="A993:A994"/>
    <mergeCell ref="G1003:G1004"/>
    <mergeCell ref="A1005:A1006"/>
    <mergeCell ref="G1005:G1006"/>
    <mergeCell ref="A1007:A1008"/>
    <mergeCell ref="G1007:G1008"/>
    <mergeCell ref="A1009:A1010"/>
    <mergeCell ref="G1009:G1010"/>
    <mergeCell ref="A1011:A1012"/>
    <mergeCell ref="G1011:G1012"/>
    <mergeCell ref="B1003:B1004"/>
    <mergeCell ref="B1005:B1006"/>
    <mergeCell ref="B1007:B1008"/>
    <mergeCell ref="B1009:B1010"/>
    <mergeCell ref="B1011:B1012"/>
    <mergeCell ref="A1003:A1004"/>
    <mergeCell ref="G1013:G1014"/>
    <mergeCell ref="A1015:A1016"/>
    <mergeCell ref="G1015:G1016"/>
    <mergeCell ref="A1017:A1018"/>
    <mergeCell ref="G1017:G1018"/>
    <mergeCell ref="A1019:A1020"/>
    <mergeCell ref="G1019:G1020"/>
    <mergeCell ref="A1021:A1022"/>
    <mergeCell ref="G1021:G1022"/>
    <mergeCell ref="B1013:B1014"/>
    <mergeCell ref="B1015:B1016"/>
    <mergeCell ref="B1017:B1018"/>
    <mergeCell ref="B1019:B1020"/>
    <mergeCell ref="B1021:B1022"/>
    <mergeCell ref="A1013:A1014"/>
    <mergeCell ref="A1023:A1024"/>
    <mergeCell ref="G1023:G1024"/>
    <mergeCell ref="A1025:A1026"/>
    <mergeCell ref="G1025:G1026"/>
    <mergeCell ref="A1027:A1028"/>
    <mergeCell ref="G1027:G1028"/>
    <mergeCell ref="A1029:A1030"/>
    <mergeCell ref="G1029:G1030"/>
    <mergeCell ref="A1031:A1032"/>
    <mergeCell ref="G1031:G1032"/>
    <mergeCell ref="B1023:B1024"/>
    <mergeCell ref="B1025:B1026"/>
    <mergeCell ref="B1027:B1028"/>
    <mergeCell ref="B1029:B1030"/>
    <mergeCell ref="B1031:B1032"/>
    <mergeCell ref="A1033:A1034"/>
    <mergeCell ref="G1033:G1034"/>
    <mergeCell ref="A1035:A1036"/>
    <mergeCell ref="G1035:G1036"/>
    <mergeCell ref="A1037:A1038"/>
    <mergeCell ref="G1037:G1038"/>
    <mergeCell ref="A1039:A1040"/>
    <mergeCell ref="G1039:G1040"/>
    <mergeCell ref="A1041:A1042"/>
    <mergeCell ref="G1041:G1042"/>
    <mergeCell ref="B1033:B1034"/>
    <mergeCell ref="B1035:B1036"/>
    <mergeCell ref="B1037:B1038"/>
    <mergeCell ref="B1039:B1040"/>
    <mergeCell ref="B1041:B1042"/>
    <mergeCell ref="A1043:A1044"/>
    <mergeCell ref="G1043:G1044"/>
    <mergeCell ref="A1045:A1046"/>
    <mergeCell ref="G1045:G1046"/>
    <mergeCell ref="A1047:A1048"/>
    <mergeCell ref="G1047:G1048"/>
    <mergeCell ref="A1049:A1050"/>
    <mergeCell ref="G1049:G1050"/>
    <mergeCell ref="A1051:A1052"/>
    <mergeCell ref="G1051:G1052"/>
    <mergeCell ref="B1043:B1044"/>
    <mergeCell ref="B1045:B1046"/>
    <mergeCell ref="B1047:B1048"/>
    <mergeCell ref="B1049:B1050"/>
    <mergeCell ref="B1051:B1052"/>
    <mergeCell ref="A1053:A1054"/>
    <mergeCell ref="G1053:G1054"/>
    <mergeCell ref="A1055:A1056"/>
    <mergeCell ref="G1055:G1056"/>
    <mergeCell ref="A1057:A1058"/>
    <mergeCell ref="G1057:G1058"/>
    <mergeCell ref="A1059:A1060"/>
    <mergeCell ref="G1059:G1060"/>
    <mergeCell ref="A1061:A1062"/>
    <mergeCell ref="G1061:G1062"/>
    <mergeCell ref="B1053:B1054"/>
    <mergeCell ref="B1055:B1056"/>
    <mergeCell ref="B1057:B1058"/>
    <mergeCell ref="B1059:B1060"/>
    <mergeCell ref="B1061:B1062"/>
    <mergeCell ref="A1063:A1064"/>
    <mergeCell ref="G1063:G1064"/>
    <mergeCell ref="A1065:A1066"/>
    <mergeCell ref="G1065:G1066"/>
    <mergeCell ref="A1067:A1068"/>
    <mergeCell ref="G1067:G1068"/>
    <mergeCell ref="A1069:A1070"/>
    <mergeCell ref="G1069:G1070"/>
    <mergeCell ref="A1071:A1072"/>
    <mergeCell ref="G1071:G1072"/>
    <mergeCell ref="B1063:B1064"/>
    <mergeCell ref="B1065:B1066"/>
    <mergeCell ref="B1067:B1068"/>
    <mergeCell ref="B1069:B1070"/>
    <mergeCell ref="B1071:B1072"/>
    <mergeCell ref="A1073:A1074"/>
    <mergeCell ref="G1073:G1074"/>
    <mergeCell ref="A1075:A1076"/>
    <mergeCell ref="G1075:G1076"/>
    <mergeCell ref="A1077:A1078"/>
    <mergeCell ref="G1077:G1078"/>
    <mergeCell ref="A1079:A1080"/>
    <mergeCell ref="G1079:G1080"/>
    <mergeCell ref="A1081:A1082"/>
    <mergeCell ref="G1081:G1082"/>
    <mergeCell ref="B1073:B1074"/>
    <mergeCell ref="B1075:B1076"/>
    <mergeCell ref="B1077:B1078"/>
    <mergeCell ref="B1079:B1080"/>
    <mergeCell ref="B1081:B1082"/>
    <mergeCell ref="A1083:A1084"/>
    <mergeCell ref="G1083:G1084"/>
    <mergeCell ref="A1085:A1086"/>
    <mergeCell ref="G1085:G1086"/>
    <mergeCell ref="A1087:A1088"/>
    <mergeCell ref="G1087:G1088"/>
    <mergeCell ref="A1089:A1090"/>
    <mergeCell ref="G1089:G1090"/>
    <mergeCell ref="A1091:A1092"/>
    <mergeCell ref="G1091:G1092"/>
    <mergeCell ref="B1083:B1084"/>
    <mergeCell ref="B1085:B1086"/>
    <mergeCell ref="B1087:B1088"/>
    <mergeCell ref="B1089:B1090"/>
    <mergeCell ref="B1091:B1092"/>
    <mergeCell ref="A1093:A1094"/>
    <mergeCell ref="G1093:G1094"/>
    <mergeCell ref="A1095:A1096"/>
    <mergeCell ref="G1095:G1096"/>
    <mergeCell ref="A1097:A1098"/>
    <mergeCell ref="G1097:G1098"/>
    <mergeCell ref="A1099:A1100"/>
    <mergeCell ref="G1099:G1100"/>
    <mergeCell ref="A1101:A1102"/>
    <mergeCell ref="G1101:G1102"/>
    <mergeCell ref="B1093:B1094"/>
    <mergeCell ref="B1095:B1096"/>
    <mergeCell ref="B1097:B1098"/>
    <mergeCell ref="B1099:B1100"/>
    <mergeCell ref="B1101:B1102"/>
    <mergeCell ref="A1103:A1104"/>
    <mergeCell ref="G1103:G1104"/>
    <mergeCell ref="A1105:A1106"/>
    <mergeCell ref="G1105:G1106"/>
    <mergeCell ref="A1107:A1108"/>
    <mergeCell ref="G1107:G1108"/>
    <mergeCell ref="A1109:A1110"/>
    <mergeCell ref="G1109:G1110"/>
    <mergeCell ref="A1111:A1112"/>
    <mergeCell ref="G1111:G1112"/>
    <mergeCell ref="B1103:B1104"/>
    <mergeCell ref="B1105:B1106"/>
    <mergeCell ref="B1107:B1108"/>
    <mergeCell ref="B1109:B1110"/>
    <mergeCell ref="B1111:B1112"/>
    <mergeCell ref="A1113:A1114"/>
    <mergeCell ref="G1113:G1114"/>
    <mergeCell ref="A1115:A1116"/>
    <mergeCell ref="G1115:G1116"/>
    <mergeCell ref="A1117:A1118"/>
    <mergeCell ref="G1117:G1118"/>
    <mergeCell ref="A1119:A1120"/>
    <mergeCell ref="G1119:G1120"/>
    <mergeCell ref="A1121:A1122"/>
    <mergeCell ref="G1121:G1122"/>
    <mergeCell ref="B1121:B1122"/>
    <mergeCell ref="B1119:B1120"/>
    <mergeCell ref="B1117:B1118"/>
    <mergeCell ref="B1115:B1116"/>
    <mergeCell ref="B1113:B1114"/>
    <mergeCell ref="A1123:A1124"/>
    <mergeCell ref="G1123:G1124"/>
    <mergeCell ref="A1125:A1126"/>
    <mergeCell ref="G1125:G1126"/>
    <mergeCell ref="A1127:A1128"/>
    <mergeCell ref="G1127:G1128"/>
    <mergeCell ref="A1129:A1130"/>
    <mergeCell ref="G1129:G1130"/>
    <mergeCell ref="A1131:A1132"/>
    <mergeCell ref="G1131:G1132"/>
    <mergeCell ref="B1131:B1132"/>
    <mergeCell ref="B1129:B1130"/>
    <mergeCell ref="B1127:B1128"/>
    <mergeCell ref="B1125:B1126"/>
    <mergeCell ref="B1123:B1124"/>
    <mergeCell ref="A1133:A1134"/>
    <mergeCell ref="G1133:G1134"/>
    <mergeCell ref="A1135:A1136"/>
    <mergeCell ref="G1135:G1136"/>
    <mergeCell ref="A1137:A1138"/>
    <mergeCell ref="G1137:G1138"/>
    <mergeCell ref="A1139:A1140"/>
    <mergeCell ref="G1139:G1140"/>
    <mergeCell ref="A1141:A1142"/>
    <mergeCell ref="G1141:G1142"/>
    <mergeCell ref="B1141:B1142"/>
    <mergeCell ref="B1139:B1140"/>
    <mergeCell ref="B1137:B1138"/>
    <mergeCell ref="B1135:B1136"/>
    <mergeCell ref="B1133:B1134"/>
    <mergeCell ref="A1143:A1144"/>
    <mergeCell ref="G1143:G1144"/>
    <mergeCell ref="A1145:A1146"/>
    <mergeCell ref="G1145:G1146"/>
    <mergeCell ref="A1147:A1148"/>
    <mergeCell ref="G1147:G1148"/>
    <mergeCell ref="A1149:A1150"/>
    <mergeCell ref="G1149:G1150"/>
    <mergeCell ref="A1151:A1152"/>
    <mergeCell ref="G1151:G1152"/>
    <mergeCell ref="B1151:B1152"/>
    <mergeCell ref="B1149:B1150"/>
    <mergeCell ref="B1147:B1148"/>
    <mergeCell ref="B1145:B1146"/>
    <mergeCell ref="B1143:B1144"/>
    <mergeCell ref="A1153:A1154"/>
    <mergeCell ref="G1153:G1154"/>
    <mergeCell ref="A1155:A1156"/>
    <mergeCell ref="G1155:G1156"/>
    <mergeCell ref="A1157:A1158"/>
    <mergeCell ref="G1157:G1158"/>
    <mergeCell ref="A1159:A1160"/>
    <mergeCell ref="G1159:G1160"/>
    <mergeCell ref="A1161:A1162"/>
    <mergeCell ref="G1161:G1162"/>
    <mergeCell ref="B1161:B1162"/>
    <mergeCell ref="B1159:B1160"/>
    <mergeCell ref="B1157:B1158"/>
    <mergeCell ref="B1155:B1156"/>
    <mergeCell ref="B1153:B1154"/>
    <mergeCell ref="A1163:A1164"/>
    <mergeCell ref="G1163:G1164"/>
    <mergeCell ref="A1165:A1166"/>
    <mergeCell ref="G1165:G1166"/>
    <mergeCell ref="A1167:A1168"/>
    <mergeCell ref="G1167:G1168"/>
    <mergeCell ref="A1169:A1170"/>
    <mergeCell ref="G1169:G1170"/>
    <mergeCell ref="A1171:A1172"/>
    <mergeCell ref="G1171:G1172"/>
    <mergeCell ref="B1169:B1170"/>
    <mergeCell ref="B1167:B1168"/>
    <mergeCell ref="B1165:B1166"/>
    <mergeCell ref="B1163:B1164"/>
    <mergeCell ref="A1173:A1174"/>
    <mergeCell ref="G1173:G1174"/>
    <mergeCell ref="A1175:A1176"/>
    <mergeCell ref="G1175:G1176"/>
    <mergeCell ref="A1177:A1178"/>
    <mergeCell ref="G1177:G1178"/>
    <mergeCell ref="A1179:A1180"/>
    <mergeCell ref="G1179:G1180"/>
    <mergeCell ref="A1181:A1182"/>
    <mergeCell ref="G1181:G1182"/>
    <mergeCell ref="A1183:A1184"/>
    <mergeCell ref="G1183:G1184"/>
    <mergeCell ref="A1185:A1186"/>
    <mergeCell ref="G1185:G1186"/>
    <mergeCell ref="A1187:A1188"/>
    <mergeCell ref="G1187:G1188"/>
    <mergeCell ref="B933:B934"/>
    <mergeCell ref="B935:B936"/>
    <mergeCell ref="B937:B938"/>
    <mergeCell ref="B939:B940"/>
    <mergeCell ref="B941:B942"/>
    <mergeCell ref="B943:B944"/>
    <mergeCell ref="B945:B946"/>
    <mergeCell ref="B947:B948"/>
    <mergeCell ref="B949:B950"/>
    <mergeCell ref="B951:B952"/>
    <mergeCell ref="B953:B954"/>
    <mergeCell ref="B955:B956"/>
    <mergeCell ref="B957:B958"/>
    <mergeCell ref="B959:B960"/>
    <mergeCell ref="B961:B962"/>
    <mergeCell ref="B963:B964"/>
    <mergeCell ref="B965:B966"/>
    <mergeCell ref="B967:B968"/>
    <mergeCell ref="B1187:B1188"/>
    <mergeCell ref="B1185:B1186"/>
    <mergeCell ref="B1183:B1184"/>
    <mergeCell ref="B1181:B1182"/>
    <mergeCell ref="B1179:B1180"/>
    <mergeCell ref="B1177:B1178"/>
    <mergeCell ref="B1175:B1176"/>
    <mergeCell ref="B1173:B1174"/>
    <mergeCell ref="B1171:B1172"/>
  </mergeCells>
  <phoneticPr fontId="11" type="noConversion"/>
  <pageMargins left="0.23622047244094491" right="0.23622047244094491" top="0.74803149606299213" bottom="0.74803149606299213" header="0.31496062992125984" footer="0.31496062992125984"/>
  <pageSetup paperSize="9" scale="29" fitToHeight="0" orientation="landscape" r:id="rId1"/>
  <headerFooter>
    <oddFooter>Страница  &amp;P из &amp;N</oddFooter>
  </headerFooter>
  <colBreaks count="2" manualBreakCount="2">
    <brk id="12" max="34" man="1"/>
    <brk id="26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8</vt:i4>
      </vt:variant>
    </vt:vector>
  </HeadingPairs>
  <TitlesOfParts>
    <vt:vector size="12" baseType="lpstr">
      <vt:lpstr>Инф. о МДК (прил. 1)</vt:lpstr>
      <vt:lpstr>Примечания 1</vt:lpstr>
      <vt:lpstr>ТЭ (прил. 2.1)</vt:lpstr>
      <vt:lpstr>ЭЭ (прил. 2.2)</vt:lpstr>
      <vt:lpstr>'Инф. о МДК (прил. 1)'!Заголовки_для_печати</vt:lpstr>
      <vt:lpstr>'Примечания 1'!Заголовки_для_печати</vt:lpstr>
      <vt:lpstr>'ТЭ (прил. 2.1)'!Заголовки_для_печати</vt:lpstr>
      <vt:lpstr>'ЭЭ (прил. 2.2)'!Заголовки_для_печати</vt:lpstr>
      <vt:lpstr>'Инф. о МДК (прил. 1)'!Область_печати</vt:lpstr>
      <vt:lpstr>'Примечания 1'!Область_печати</vt:lpstr>
      <vt:lpstr>'ТЭ (прил. 2.1)'!Область_печати</vt:lpstr>
      <vt:lpstr>'ЭЭ (прил. 2.2)'!Область_печати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mnsh</dc:creator>
  <cp:lastModifiedBy>USER</cp:lastModifiedBy>
  <cp:lastPrinted>2014-06-30T11:40:23Z</cp:lastPrinted>
  <dcterms:created xsi:type="dcterms:W3CDTF">2013-12-08T19:17:02Z</dcterms:created>
  <dcterms:modified xsi:type="dcterms:W3CDTF">2014-07-11T12:47:21Z</dcterms:modified>
</cp:coreProperties>
</file>