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Formulas" sheetId="2" r:id="rId5"/>
    <sheet state="visible" name="Practice" sheetId="3" r:id="rId6"/>
    <sheet state="visible" name="Pivot Table 1" sheetId="4" r:id="rId7"/>
    <sheet state="visible" name="Pivot Table 2" sheetId="5" r:id="rId8"/>
    <sheet state="visible" name="Pivot Table 3" sheetId="6" r:id="rId9"/>
    <sheet state="visible" name="Pivot Table 4" sheetId="7" r:id="rId10"/>
  </sheets>
  <definedNames>
    <definedName hidden="1" localSheetId="0" name="_xlnm._FilterDatabase">Theory!$A$1:$J$15</definedName>
    <definedName hidden="1" localSheetId="1" name="Z_983BA6D8_7D2E_41C6_80AE_421FFF89E787_.wvu.FilterData">Formulas!$C$147:$E$156</definedName>
    <definedName hidden="1" localSheetId="2" name="Z_983BA6D8_7D2E_41C6_80AE_421FFF89E787_.wvu.FilterData">Practice!$A$84:$U$103</definedName>
    <definedName name="SlicerCache_Table_1_Col_1">#N/A</definedName>
    <definedName name="SlicerCache_Table_2_Col_8">#N/A</definedName>
  </definedNames>
  <calcPr/>
  <customWorkbookViews>
    <customWorkbookView activeSheetId="0" maximized="1" windowHeight="0" windowWidth="0" guid="{983BA6D8-7D2E-41C6-80AE-421FFF89E787}" name="Filter 1"/>
  </customWorkbookViews>
  <pivotCaches>
    <pivotCache cacheId="0" r:id="rId11"/>
    <pivotCache cacheId="1" r:id="rId12"/>
    <pivotCache cacheId="2" r:id="rId13"/>
  </pivotCaches>
  <extLst>
    <ext uri="{46BE6895-7355-4a93-B00E-2C351335B9C9}">
      <x15:slicerCaches>
        <x14:slicerCache r:id="rId14"/>
        <x14:slicerCache r:id="rId15"/>
      </x15:slicerCaches>
    </ext>
  </extLst>
</workbook>
</file>

<file path=xl/sharedStrings.xml><?xml version="1.0" encoding="utf-8"?>
<sst xmlns="http://schemas.openxmlformats.org/spreadsheetml/2006/main" count="1058" uniqueCount="384">
  <si>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</si>
  <si>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</si>
  <si>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</si>
  <si>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</si>
  <si>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</si>
  <si>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</si>
  <si>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</si>
  <si>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</si>
  <si>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</si>
  <si>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</si>
  <si>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</si>
  <si>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</si>
  <si>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</si>
  <si>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</si>
  <si>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</si>
  <si>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</si>
  <si>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</si>
  <si>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</si>
  <si>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</si>
  <si>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</si>
  <si>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</si>
  <si>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</si>
  <si>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</si>
  <si>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</si>
  <si>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</si>
  <si>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</si>
  <si>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</si>
  <si>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</si>
  <si>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</si>
  <si>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</si>
  <si>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</si>
  <si>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</si>
  <si>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</si>
  <si>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</si>
  <si>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</si>
  <si>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</si>
  <si>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</si>
  <si>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</si>
  <si>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</si>
  <si>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</si>
  <si>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</si>
  <si>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</si>
  <si>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</si>
  <si>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</si>
  <si>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</si>
  <si>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</si>
  <si>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</si>
  <si>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</si>
  <si>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</si>
  <si>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</si>
  <si>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</si>
  <si>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</si>
  <si>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</si>
  <si>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</si>
  <si>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</si>
  <si>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</si>
  <si>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</si>
  <si>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</si>
  <si>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</si>
  <si>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</si>
  <si>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</si>
  <si>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</si>
  <si>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</si>
  <si>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</si>
  <si>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</si>
  <si>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</si>
  <si>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</si>
  <si>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</si>
  <si>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</si>
  <si>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</si>
  <si>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UNIQUE - Remove dups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</si>
  <si>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</si>
  <si>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</si>
  <si>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</si>
  <si>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</si>
  <si>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</si>
  <si>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</si>
  <si>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</si>
  <si>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</si>
  <si>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</si>
  <si>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</si>
  <si>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</si>
  <si>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</si>
  <si>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</si>
  <si>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</si>
  <si>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</si>
  <si>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</si>
  <si>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</si>
  <si>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</si>
  <si>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</si>
  <si>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</si>
  <si>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</si>
  <si>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</si>
  <si>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</si>
  <si>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</si>
  <si>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</si>
  <si>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</si>
  <si>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</si>
  <si>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If cell formula helper popup is not showing up press Shift + F1</t>
  </si>
  <si>
    <t>When u should freeze cells</t>
  </si>
  <si>
    <t>RANDBETWEEN</t>
  </si>
  <si>
    <t>Get random num btw 5 to 1000</t>
  </si>
  <si>
    <t>Find the market size of store id 918 based on "market size" col index. Left to right exec.</t>
  </si>
  <si>
    <t>HLOOKUP</t>
  </si>
  <si>
    <t>Find the market size of store id 435 based on "store id" row index. Left to right exec.</t>
  </si>
  <si>
    <t>Find record with State "Iowa" where State col all vals are provided, whole table is provided</t>
  </si>
  <si>
    <t>Small Market</t>
  </si>
  <si>
    <t>Central</t>
  </si>
  <si>
    <t>Beans</t>
  </si>
  <si>
    <t>Espresso</t>
  </si>
  <si>
    <t>Decaf Espresso</t>
  </si>
  <si>
    <t>Iowa</t>
  </si>
  <si>
    <t>IF</t>
  </si>
  <si>
    <t>if 8 &gt; 5 then return "Eight" else return "Five"</t>
  </si>
  <si>
    <t>IFS</t>
  </si>
  <si>
    <t>if 8 &gt; 5 then return "Eight" else if 5 &lt; 8 return "Five"</t>
  </si>
  <si>
    <t>AND</t>
  </si>
  <si>
    <t>if 3 &lt; 4 AND "a" = "a" AND 1 = 1 then return "Correct" else return "Wrong"</t>
  </si>
  <si>
    <t>OR</t>
  </si>
  <si>
    <t>if 3 &gt; 4 OR "a" = "b" OR 1 = 2 then return "Correct" else return "Wrong"</t>
  </si>
  <si>
    <t>CONCATENATE</t>
  </si>
  <si>
    <t>Join 3 words</t>
  </si>
  <si>
    <t>UPPER</t>
  </si>
  <si>
    <t>all up case</t>
  </si>
  <si>
    <t>LOWER</t>
  </si>
  <si>
    <t>all low case</t>
  </si>
  <si>
    <t>PROPER</t>
  </si>
  <si>
    <t>Title case words "hApApa maPUpu"</t>
  </si>
  <si>
    <t>LEFT</t>
  </si>
  <si>
    <t>Extract 4 chars from start from word "falapala"</t>
  </si>
  <si>
    <t>RIGHT</t>
  </si>
  <si>
    <t>Extract 4 chars from end from word "falapala"</t>
  </si>
  <si>
    <t>MID</t>
  </si>
  <si>
    <t>Extract first 4 chars from string "Badudumadu madapa". Substring in SQL</t>
  </si>
  <si>
    <t>LEN</t>
  </si>
  <si>
    <t>How many chars in word "Majajbaja"</t>
  </si>
  <si>
    <t>YEAR</t>
  </si>
  <si>
    <t>Date to year - If the date gives 1905 go to -&gt; Format Menu -&gt; Number -&gt; Automatic</t>
  </si>
  <si>
    <t>MONTH</t>
  </si>
  <si>
    <t>Date to month</t>
  </si>
  <si>
    <t>DAY</t>
  </si>
  <si>
    <t>Date to day</t>
  </si>
  <si>
    <t>DATE</t>
  </si>
  <si>
    <t>String to Date</t>
  </si>
  <si>
    <t>TEXT</t>
  </si>
  <si>
    <t>Text format - get month in text</t>
  </si>
  <si>
    <t>SUM</t>
  </si>
  <si>
    <t>Add total matches won by Chennai Super Kings and Royal Challengers Bangalore</t>
  </si>
  <si>
    <t>Add all batsman runs</t>
  </si>
  <si>
    <t>SUMIF</t>
  </si>
  <si>
    <t>Add all batsman runs whose bowler name is GJ Maxwell</t>
  </si>
  <si>
    <t>SUMIFS</t>
  </si>
  <si>
    <t>Add Other Expenses where State is Utah and Product Type is Herbal Tea</t>
  </si>
  <si>
    <t>SUMPRODUCT</t>
  </si>
  <si>
    <t>Add Cost and Profit to get total sales value of products</t>
  </si>
  <si>
    <t>MAX</t>
  </si>
  <si>
    <t>Get Max sale value</t>
  </si>
  <si>
    <t>MIN</t>
  </si>
  <si>
    <t>Get Min sale value</t>
  </si>
  <si>
    <t>COUNT</t>
  </si>
  <si>
    <t>Count all numeric values of ids</t>
  </si>
  <si>
    <t>COUNTIF</t>
  </si>
  <si>
    <t>Count all numeric values of ids &gt; 335989</t>
  </si>
  <si>
    <t>COUNTA</t>
  </si>
  <si>
    <t>Count all non numeric values of city</t>
  </si>
  <si>
    <t>Count in city where city is Bengaluru</t>
  </si>
  <si>
    <t>AVERAGE</t>
  </si>
  <si>
    <t>Get average of total runs</t>
  </si>
  <si>
    <t>AVERAGEIF</t>
  </si>
  <si>
    <t>Get average of sales when marketing budget was &gt; 20</t>
  </si>
  <si>
    <t>MEDIAN</t>
  </si>
  <si>
    <t>Get middle value from matches won</t>
  </si>
  <si>
    <t>MODE</t>
  </si>
  <si>
    <t>Get the most frequently targeted sale price</t>
  </si>
  <si>
    <t>INDEX</t>
  </si>
  <si>
    <t>Get value from table T5 where row is 4 and col is 5</t>
  </si>
  <si>
    <t>MATCH</t>
  </si>
  <si>
    <t>Get positon of value "South" form table T5's Market column</t>
  </si>
  <si>
    <t>SEQUENCE</t>
  </si>
  <si>
    <t>Generates list of sequential nums in an array</t>
  </si>
  <si>
    <t>UNIQUE</t>
  </si>
  <si>
    <t>Get all unique records from selected table. If table contains 2 cols then records in both cols must have same value to be considred as dub record. Returns more than 1 value.</t>
  </si>
  <si>
    <t>SORT</t>
  </si>
  <si>
    <t>Sort all records based on primary, secondary, etc col index values. Same as SQL order by</t>
  </si>
  <si>
    <t>West</t>
  </si>
  <si>
    <t>South</t>
  </si>
  <si>
    <t>East</t>
  </si>
  <si>
    <t>Major Market</t>
  </si>
  <si>
    <t>Filter records based on conditions applied on 1 or many col values. In this case filter all records whose Profit &gt; 0</t>
  </si>
  <si>
    <t>Pivot Table</t>
  </si>
  <si>
    <t>Select Table Cells -&gt; Insert Menu -&gt; Pivot Table</t>
  </si>
  <si>
    <t>Column Stats</t>
  </si>
  <si>
    <t>Select col -&gt; Data Menu -&gt; Column Stats</t>
  </si>
  <si>
    <t>Paste Special</t>
  </si>
  <si>
    <t>If u dont want to copy formulas but just values from cells then: Select Table Cells -&gt; Right Click -&gt; Paste Special -&gt; Values Only</t>
  </si>
  <si>
    <t>Show Formulas always</t>
  </si>
  <si>
    <t>View -&gt; Show -&gt; Formulas, Protected Ranges</t>
  </si>
  <si>
    <t>Protect Workbook</t>
  </si>
  <si>
    <t>Select Table Cells -&gt; Right Click -&gt; View More Cell Actions -&gt; Protect Range OR Select Table Cells -&gt; Data Menu -&gt; Protect Table Sheets and Ranges</t>
  </si>
  <si>
    <t>Store id</t>
  </si>
  <si>
    <t>Cogs</t>
  </si>
  <si>
    <t>Date</t>
  </si>
  <si>
    <t>Chart</t>
  </si>
  <si>
    <t>Select Table Cells -&gt; Insert Menu -&gt; Chart</t>
  </si>
  <si>
    <t>Conditional Formatting</t>
  </si>
  <si>
    <t>Highlight Profit values &lt; 30: Select col values -&gt; Format Menu -&gt; Conditional Formatting</t>
  </si>
  <si>
    <t>Profit</t>
  </si>
  <si>
    <t>Data Validation</t>
  </si>
  <si>
    <t>Select New col cells -&gt; Data Menu -&gt; Data Validation</t>
  </si>
  <si>
    <t>Action</t>
  </si>
  <si>
    <t>Manager Email</t>
  </si>
  <si>
    <t>Fire all employees</t>
  </si>
  <si>
    <t>hipa@papa.me</t>
  </si>
  <si>
    <t>Cut 1 year salary for all</t>
  </si>
  <si>
    <t>h@h@p.c,</t>
  </si>
  <si>
    <t>Hire more people</t>
  </si>
  <si>
    <t>99299@222</t>
  </si>
  <si>
    <t>Raise Budget</t>
  </si>
  <si>
    <t>kappa@gmail.com</t>
  </si>
  <si>
    <t>Close Store</t>
  </si>
  <si>
    <t>mujuju@mailing</t>
  </si>
  <si>
    <t>Slicer</t>
  </si>
  <si>
    <t>Apply filter on table or chart: Help Menu -&gt; Search the menus -&gt; Insert Slicer OR Data Menu -&gt; Add Slicer</t>
  </si>
  <si>
    <t>Product</t>
  </si>
  <si>
    <t>Sales</t>
  </si>
  <si>
    <t>Decaf Irish Cream</t>
  </si>
  <si>
    <t>Caffe Latte</t>
  </si>
  <si>
    <t>Lemon</t>
  </si>
  <si>
    <t>Dashboard</t>
  </si>
  <si>
    <t>Insert Menu -&gt; Chart -&gt; Chart Type -&gt; Data Range |||||| Data Menu -&gt; Add Slicer -&gt; Select entire table as data range -&gt; In Slicer Menu choose Column based on which we filter entire Dasbboard</t>
  </si>
  <si>
    <t>Macros</t>
  </si>
  <si>
    <t>Extensions Menu -&gt; Macros -&gt; Record Macro (Relative position if tables arranged as below) -&gt; Save as "Extract Year Macro" |||||||| Select cell -&gt; Extensions Menu -&gt; Mactos -&gt; Select "Extract Year Macro" |||||| The table should be in same format</t>
  </si>
  <si>
    <t>Year</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</si>
  <si>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</si>
  <si>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</si>
  <si>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</si>
  <si>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</si>
  <si>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</si>
  <si>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</si>
  <si>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</si>
  <si>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</si>
  <si>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</si>
  <si>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</si>
  <si>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</si>
  <si>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</si>
  <si>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</si>
  <si>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</si>
  <si>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</si>
  <si>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</si>
  <si>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</si>
  <si>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</si>
  <si>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</si>
  <si>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</si>
  <si>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</si>
  <si>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</si>
  <si>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</si>
  <si>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</si>
  <si>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</si>
  <si>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</si>
  <si>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</si>
  <si>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</si>
  <si>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</si>
  <si>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</si>
  <si>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</si>
  <si>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</si>
  <si>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</si>
  <si>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</si>
  <si>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</si>
  <si>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</si>
  <si>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</si>
  <si>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</si>
  <si>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</si>
  <si>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</si>
  <si>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</si>
  <si>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</si>
  <si>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</si>
  <si>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</si>
  <si>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</si>
  <si>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</si>
  <si>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</si>
  <si>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</si>
  <si>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</si>
  <si>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</si>
  <si>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</si>
  <si>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</si>
  <si>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</si>
  <si>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</si>
  <si>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</si>
  <si>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</si>
  <si>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</si>
  <si>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</si>
  <si>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</si>
  <si>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</si>
  <si>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</si>
  <si>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</si>
  <si>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</si>
  <si>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</si>
  <si>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</si>
  <si>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</si>
  <si>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</si>
  <si>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</si>
  <si>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</si>
  <si>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</si>
  <si>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</si>
  <si>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</si>
  <si>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</si>
  <si>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</si>
  <si>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</si>
  <si>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</si>
  <si>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</si>
  <si>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</si>
  <si>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</si>
  <si>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</si>
  <si>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</si>
  <si>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</si>
  <si>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</si>
  <si>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</si>
  <si>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</si>
  <si>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</si>
  <si>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</si>
  <si>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</si>
  <si>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</si>
  <si>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</si>
  <si>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</si>
  <si>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</si>
  <si>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</si>
  <si>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</si>
  <si>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</si>
  <si>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</si>
  <si>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</si>
  <si>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</si>
  <si>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</si>
  <si>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</si>
  <si>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</si>
  <si>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</si>
  <si>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</si>
  <si>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</si>
  <si>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</si>
  <si>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Market Size</t>
  </si>
  <si>
    <t>Market</t>
  </si>
  <si>
    <t>Marketing</t>
  </si>
  <si>
    <t>Product Line</t>
  </si>
  <si>
    <t>Product Type</t>
  </si>
  <si>
    <t>State</t>
  </si>
  <si>
    <t>Target COGS</t>
  </si>
  <si>
    <t>Target Profit</t>
  </si>
  <si>
    <t>Target Sales</t>
  </si>
  <si>
    <t>Other Expenses</t>
  </si>
  <si>
    <t>Highest total expense</t>
  </si>
  <si>
    <t>Profit Margin</t>
  </si>
  <si>
    <t>Cost</t>
  </si>
  <si>
    <t>Month</t>
  </si>
  <si>
    <t>Leaves</t>
  </si>
  <si>
    <t>Herbal Tea</t>
  </si>
  <si>
    <t>Colorado</t>
  </si>
  <si>
    <t>Mint</t>
  </si>
  <si>
    <t>Texas</t>
  </si>
  <si>
    <t>Tea</t>
  </si>
  <si>
    <t>Darjeeling</t>
  </si>
  <si>
    <t>Florida</t>
  </si>
  <si>
    <t>Green Tea</t>
  </si>
  <si>
    <t>California</t>
  </si>
  <si>
    <t>Connecticut</t>
  </si>
  <si>
    <t>Coffee</t>
  </si>
  <si>
    <t>Oklahoma</t>
  </si>
  <si>
    <t>Nevada</t>
  </si>
  <si>
    <t>Utah</t>
  </si>
  <si>
    <t>Amaretto</t>
  </si>
  <si>
    <t>New Hampshire</t>
  </si>
  <si>
    <t>Colombian</t>
  </si>
  <si>
    <t>Caffe Mocha</t>
  </si>
  <si>
    <t>Louisiana</t>
  </si>
  <si>
    <t>Oregon</t>
  </si>
  <si>
    <t>Chamomile</t>
  </si>
  <si>
    <t>Missouri</t>
  </si>
  <si>
    <t>Wisconsin</t>
  </si>
  <si>
    <t>COUNTA of toss_winner</t>
  </si>
  <si>
    <t>COUNTA of WinnerIsTossWinner</t>
  </si>
  <si>
    <t>Percentage -&gt; value = (x/100) * total -&gt; what percent of total is value</t>
  </si>
  <si>
    <t>no</t>
  </si>
  <si>
    <t>So 16 is 55% of 29</t>
  </si>
  <si>
    <t>yes</t>
  </si>
  <si>
    <t>Calculated Field 1</t>
  </si>
  <si>
    <t>SUM of Target COGS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</si>
</sst>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7">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theme="1"/>
      <name val="Arial"/>
      <scheme val="minor"/>
    </font>
    <font>
      <b/>
      <color theme="1"/>
      <name val="Arial"/>
    </font>
    <font>
      <b/>
      <color rgb="FFFFFFFF"/>
      <name val="Calibri"/>
    </font>
    <font>
      <color theme="1"/>
      <name val="Calibri"/>
    </font>
    <font>
      <b/>
      <sz val="10.0"/>
      <color rgb="FFFFFFFF"/>
      <name val="Calibri"/>
    </font>
    <font>
      <sz val="10.0"/>
      <color rgb="FF000000"/>
      <name val="Calibri"/>
    </font>
    <font>
      <sz val="11.0"/>
      <color rgb="FFF3F3F3"/>
      <name val="Calibri"/>
    </font>
  </fonts>
  <fills count="10">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D9EAD3"/>
        <bgColor rgb="FFD9EAD3"/>
      </patternFill>
    </fill>
    <fill>
      <patternFill patternType="solid">
        <fgColor rgb="FFB6D7A8"/>
        <bgColor rgb="FFB6D7A8"/>
      </patternFill>
    </fill>
    <fill>
      <patternFill patternType="solid">
        <fgColor rgb="FF355BB7"/>
        <bgColor rgb="FF355BB7"/>
      </patternFill>
    </fill>
    <fill>
      <patternFill patternType="solid">
        <fgColor rgb="FFD1DBF0"/>
        <bgColor rgb="FFD1DBF0"/>
      </patternFill>
    </fill>
    <fill>
      <patternFill patternType="solid">
        <fgColor rgb="FFFFFFFF"/>
        <bgColor rgb="FFFFFFFF"/>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0" fontId="10" numFmtId="0" xfId="0" applyAlignment="1" applyFont="1">
      <alignment horizontal="left" readingOrder="0"/>
    </xf>
    <xf borderId="0" fillId="0" fontId="6" numFmtId="0" xfId="0" applyAlignment="1" applyFont="1">
      <alignment horizontal="left"/>
    </xf>
    <xf borderId="0" fillId="5" fontId="6" numFmtId="0" xfId="0" applyAlignment="1" applyFill="1" applyFont="1">
      <alignment horizontal="left"/>
    </xf>
    <xf borderId="0" fillId="0" fontId="6" numFmtId="0" xfId="0" applyAlignment="1" applyFont="1">
      <alignment horizontal="left" readingOrder="0"/>
    </xf>
    <xf borderId="0" fillId="6" fontId="10" numFmtId="0" xfId="0" applyAlignment="1" applyFill="1" applyFont="1">
      <alignment horizontal="left" readingOrder="0"/>
    </xf>
    <xf borderId="0" fillId="6" fontId="6" numFmtId="0" xfId="0" applyAlignment="1" applyFont="1">
      <alignment horizontal="left"/>
    </xf>
    <xf borderId="0" fillId="6" fontId="6" numFmtId="0" xfId="0" applyAlignment="1" applyFont="1">
      <alignment horizontal="left" readingOrder="0"/>
    </xf>
    <xf borderId="0" fillId="5" fontId="10" numFmtId="0" xfId="0" applyAlignment="1" applyFont="1">
      <alignment horizontal="left"/>
    </xf>
    <xf borderId="0" fillId="0" fontId="6" numFmtId="14" xfId="0" applyAlignment="1" applyFont="1" applyNumberFormat="1">
      <alignment horizontal="left"/>
    </xf>
    <xf borderId="0" fillId="0" fontId="11" numFmtId="0" xfId="0" applyAlignment="1" applyFont="1">
      <alignment horizontal="left" vertical="bottom"/>
    </xf>
    <xf borderId="0" fillId="0" fontId="10" numFmtId="0" xfId="0" applyAlignment="1" applyFont="1">
      <alignment horizontal="left"/>
    </xf>
    <xf borderId="0" fillId="5" fontId="6" numFmtId="0" xfId="0" applyAlignment="1" applyFont="1">
      <alignment horizontal="left" readingOrder="0"/>
    </xf>
    <xf borderId="0" fillId="5" fontId="6" numFmtId="14" xfId="0" applyAlignment="1" applyFont="1" applyNumberFormat="1">
      <alignment horizontal="left"/>
    </xf>
    <xf borderId="0" fillId="5" fontId="8" numFmtId="0" xfId="0" applyAlignment="1" applyFont="1">
      <alignment horizontal="left" vertical="bottom"/>
    </xf>
    <xf borderId="0" fillId="0" fontId="8" numFmtId="0" xfId="0" applyAlignment="1" applyFont="1">
      <alignment horizontal="left" shrinkToFit="0" vertical="bottom" wrapText="0"/>
    </xf>
    <xf borderId="0" fillId="6" fontId="11" numFmtId="0" xfId="0" applyAlignment="1" applyFont="1">
      <alignment vertical="bottom"/>
    </xf>
    <xf borderId="0" fillId="6" fontId="8" numFmtId="0" xfId="0" applyAlignment="1" applyFont="1">
      <alignment vertical="bottom"/>
    </xf>
    <xf borderId="0" fillId="0" fontId="11" numFmtId="0" xfId="0" applyAlignment="1" applyFont="1">
      <alignment vertical="bottom"/>
    </xf>
    <xf borderId="0" fillId="5" fontId="8" numFmtId="0" xfId="0" applyAlignment="1" applyFont="1">
      <alignment vertical="bottom"/>
    </xf>
    <xf borderId="0" fillId="5" fontId="11" numFmtId="0" xfId="0" applyAlignment="1" applyFont="1">
      <alignment vertical="bottom"/>
    </xf>
    <xf borderId="0" fillId="6" fontId="11" numFmtId="0" xfId="0" applyAlignment="1" applyFont="1">
      <alignment horizontal="left" vertical="bottom"/>
    </xf>
    <xf borderId="0" fillId="5" fontId="11" numFmtId="0" xfId="0" applyAlignment="1" applyFont="1">
      <alignment horizontal="left" vertical="bottom"/>
    </xf>
    <xf borderId="0" fillId="0" fontId="11" numFmtId="0" xfId="0" applyAlignment="1" applyFont="1">
      <alignment readingOrder="0" vertical="bottom"/>
    </xf>
    <xf borderId="0" fillId="0" fontId="11" numFmtId="0" xfId="0" applyAlignment="1" applyFont="1">
      <alignment shrinkToFit="0" vertical="bottom" wrapText="0"/>
    </xf>
    <xf borderId="0" fillId="6" fontId="11" numFmtId="0" xfId="0" applyAlignment="1" applyFont="1">
      <alignment shrinkToFit="0" vertical="bottom" wrapText="0"/>
    </xf>
    <xf borderId="0" fillId="0" fontId="10" numFmtId="14" xfId="0" applyAlignment="1" applyFont="1" applyNumberFormat="1">
      <alignment horizontal="left"/>
    </xf>
    <xf borderId="0" fillId="0" fontId="6" numFmtId="0" xfId="0" applyAlignment="1" applyFont="1">
      <alignment horizontal="left"/>
    </xf>
    <xf borderId="0" fillId="0" fontId="11" numFmtId="14" xfId="0" applyAlignment="1" applyFont="1" applyNumberFormat="1">
      <alignment horizontal="left" vertical="bottom"/>
    </xf>
    <xf borderId="0" fillId="4" fontId="3" numFmtId="0" xfId="0" applyAlignment="1" applyFont="1">
      <alignment horizontal="left" vertical="bottom"/>
    </xf>
    <xf borderId="0" fillId="7" fontId="12" numFmtId="0" xfId="0" applyAlignment="1" applyFill="1" applyFont="1">
      <alignment horizontal="left" vertical="bottom"/>
    </xf>
    <xf borderId="0" fillId="0" fontId="3" numFmtId="0" xfId="0" applyAlignment="1" applyFont="1">
      <alignment horizontal="left" readingOrder="0" shrinkToFit="0" vertical="bottom" wrapText="0"/>
    </xf>
    <xf borderId="0" fillId="8" fontId="13" numFmtId="0" xfId="0" applyAlignment="1" applyFill="1" applyFont="1">
      <alignment horizontal="left" vertical="bottom"/>
    </xf>
    <xf borderId="0" fillId="8" fontId="13" numFmtId="165" xfId="0" applyAlignment="1" applyFont="1" applyNumberFormat="1">
      <alignment horizontal="left" vertical="bottom"/>
    </xf>
    <xf borderId="0" fillId="0" fontId="3" numFmtId="0" xfId="0" applyAlignment="1" applyFont="1">
      <alignment horizontal="left" shrinkToFit="0" vertical="bottom" wrapText="0"/>
    </xf>
    <xf borderId="0" fillId="0" fontId="13" numFmtId="0" xfId="0" applyAlignment="1" applyFont="1">
      <alignment horizontal="left" vertical="bottom"/>
    </xf>
    <xf borderId="0" fillId="0" fontId="13" numFmtId="165" xfId="0" applyAlignment="1" applyFont="1" applyNumberFormat="1">
      <alignment horizontal="left" vertical="bottom"/>
    </xf>
    <xf borderId="1" fillId="7" fontId="12" numFmtId="0" xfId="0" applyAlignment="1" applyBorder="1" applyFont="1">
      <alignment horizontal="left" vertical="bottom"/>
    </xf>
    <xf borderId="2" fillId="7" fontId="12" numFmtId="0" xfId="0" applyAlignment="1" applyBorder="1" applyFont="1">
      <alignment horizontal="left" vertical="bottom"/>
    </xf>
    <xf borderId="3" fillId="7" fontId="12" numFmtId="0" xfId="0" applyAlignment="1" applyBorder="1" applyFont="1">
      <alignment horizontal="left" vertical="bottom"/>
    </xf>
    <xf borderId="4" fillId="8" fontId="13" numFmtId="0" xfId="0" applyAlignment="1" applyBorder="1" applyFont="1">
      <alignment horizontal="left" vertical="bottom"/>
    </xf>
    <xf borderId="5" fillId="8" fontId="13" numFmtId="0" xfId="0" applyAlignment="1" applyBorder="1" applyFont="1">
      <alignment horizontal="left" vertical="bottom"/>
    </xf>
    <xf borderId="6" fillId="8" fontId="13" numFmtId="0" xfId="0" applyAlignment="1" applyBorder="1" applyFont="1">
      <alignment horizontal="left" vertical="bottom"/>
    </xf>
    <xf borderId="7" fillId="0" fontId="13" numFmtId="0" xfId="0" applyAlignment="1" applyBorder="1" applyFont="1">
      <alignment horizontal="left" vertical="bottom"/>
    </xf>
    <xf borderId="8" fillId="0" fontId="13" numFmtId="0" xfId="0" applyAlignment="1" applyBorder="1" applyFont="1">
      <alignment horizontal="left" vertical="bottom"/>
    </xf>
    <xf borderId="6" fillId="0" fontId="13" numFmtId="0" xfId="0" applyAlignment="1" applyBorder="1" applyFont="1">
      <alignment horizontal="left" vertical="bottom"/>
    </xf>
    <xf borderId="1" fillId="7" fontId="14" numFmtId="0" xfId="0" applyAlignment="1" applyBorder="1" applyFont="1">
      <alignment horizontal="left" readingOrder="0"/>
    </xf>
    <xf borderId="9" fillId="7" fontId="14" numFmtId="0" xfId="0" applyAlignment="1" applyBorder="1" applyFont="1">
      <alignment horizontal="left" readingOrder="0"/>
    </xf>
    <xf borderId="10" fillId="7" fontId="14" numFmtId="0" xfId="0" applyAlignment="1" applyBorder="1" applyFont="1">
      <alignment horizontal="left" readingOrder="0"/>
    </xf>
    <xf borderId="1" fillId="8" fontId="15" numFmtId="0" xfId="0" applyAlignment="1" applyBorder="1" applyFont="1">
      <alignment horizontal="left" readingOrder="0"/>
    </xf>
    <xf borderId="9" fillId="8" fontId="15" numFmtId="0" xfId="0" applyAlignment="1" applyBorder="1" applyFont="1">
      <alignment horizontal="left" readingOrder="0"/>
    </xf>
    <xf borderId="10" fillId="8" fontId="15" numFmtId="0" xfId="0" applyAlignment="1" applyBorder="1" applyFont="1">
      <alignment horizontal="left" readingOrder="0"/>
    </xf>
    <xf borderId="11" fillId="9" fontId="15" numFmtId="0" xfId="0" applyAlignment="1" applyBorder="1" applyFill="1" applyFont="1">
      <alignment horizontal="left" readingOrder="0"/>
    </xf>
    <xf borderId="12" fillId="9" fontId="15" numFmtId="0" xfId="0" applyAlignment="1" applyBorder="1" applyFont="1">
      <alignment horizontal="left" readingOrder="0"/>
    </xf>
    <xf borderId="13" fillId="9" fontId="15" numFmtId="0" xfId="0" applyAlignment="1" applyBorder="1" applyFont="1">
      <alignment horizontal="left" readingOrder="0"/>
    </xf>
    <xf borderId="9" fillId="7" fontId="9" numFmtId="0" xfId="0" applyAlignment="1" applyBorder="1" applyFont="1">
      <alignment horizontal="left" vertical="bottom"/>
    </xf>
    <xf borderId="2" fillId="7" fontId="9" numFmtId="0" xfId="0" applyAlignment="1" applyBorder="1" applyFont="1">
      <alignment horizontal="left" vertical="bottom"/>
    </xf>
    <xf borderId="14" fillId="0" fontId="3" numFmtId="0" xfId="0" applyAlignment="1" applyBorder="1" applyFont="1">
      <alignment horizontal="left" shrinkToFit="0" vertical="bottom" wrapText="0"/>
    </xf>
    <xf borderId="15" fillId="8" fontId="3" numFmtId="0" xfId="0" applyAlignment="1" applyBorder="1" applyFont="1">
      <alignment horizontal="left" vertical="bottom"/>
    </xf>
    <xf borderId="5" fillId="8" fontId="3" numFmtId="0" xfId="0" applyAlignment="1" applyBorder="1" applyFont="1">
      <alignment horizontal="left" vertical="bottom"/>
    </xf>
    <xf borderId="16" fillId="0" fontId="3" numFmtId="0" xfId="0" applyAlignment="1" applyBorder="1" applyFont="1">
      <alignment horizontal="left" vertical="bottom"/>
    </xf>
    <xf borderId="17" fillId="0" fontId="3" numFmtId="0" xfId="0" applyAlignment="1" applyBorder="1" applyFont="1">
      <alignment horizontal="left" vertical="bottom"/>
    </xf>
    <xf borderId="6" fillId="0" fontId="3" numFmtId="0" xfId="0" applyAlignment="1" applyBorder="1" applyFont="1">
      <alignment horizontal="left" vertical="bottom"/>
    </xf>
    <xf borderId="0" fillId="4" fontId="4" numFmtId="0" xfId="0" applyAlignment="1" applyFont="1">
      <alignment horizontal="left" vertical="bottom"/>
    </xf>
    <xf borderId="0" fillId="4" fontId="4" numFmtId="14" xfId="0" applyAlignment="1" applyFont="1" applyNumberFormat="1">
      <alignment horizontal="left" vertical="bottom"/>
    </xf>
    <xf borderId="0" fillId="4" fontId="16" numFmtId="0" xfId="0" applyAlignment="1" applyFont="1">
      <alignment horizontal="left" vertical="bottom"/>
    </xf>
    <xf borderId="0" fillId="4" fontId="16" numFmtId="0" xfId="0" applyAlignment="1" applyFont="1">
      <alignment horizontal="left" readingOrder="0" vertical="bottom"/>
    </xf>
    <xf borderId="0" fillId="3" fontId="3" numFmtId="14" xfId="0" applyAlignment="1" applyFont="1" applyNumberFormat="1">
      <alignment horizontal="left" readingOrder="0" vertical="bottom"/>
    </xf>
    <xf borderId="0" fillId="0" fontId="6" numFmtId="0" xfId="0" applyFont="1"/>
    <xf borderId="0" fillId="0" fontId="10" numFmtId="0" xfId="0" applyAlignment="1" applyFont="1">
      <alignment readingOrder="0"/>
    </xf>
  </cellXfs>
  <cellStyles count="1">
    <cellStyle xfId="0" name="Normal" builtinId="0"/>
  </cellStyles>
  <dxfs count="2">
    <dxf>
      <font/>
      <fill>
        <patternFill patternType="solid">
          <fgColor rgb="FFEA9999"/>
          <bgColor rgb="FFEA9999"/>
        </patternFill>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146</xdr:row>
      <xdr:rowOff>152400</xdr:rowOff>
    </xdr:from>
    <xdr:ext cx="2857500" cy="2857500"/>
    <mc:AlternateContent>
      <mc:Choice Requires="sle15">
        <xdr:graphicFrame>
          <xdr:nvGraphicFramePr>
            <xdr:cNvPr id="1" name="Product_1"/>
            <xdr:cNvGraphicFramePr/>
          </xdr:nvGraphicFramePr>
          <xdr:xfrm>
            <a:off x="0" y="0"/>
            <a:ext cx="0" cy="0"/>
          </xdr:xfrm>
          <a:graphic>
            <a:graphicData uri="http://schemas.microsoft.com/office/drawing/2010/slicer">
              <x3Unk:slicer name="Produc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175</xdr:row>
      <xdr:rowOff>180975</xdr:rowOff>
    </xdr:from>
    <xdr:ext cx="8601075" cy="2857500"/>
    <mc:AlternateContent>
      <mc:Choice Requires="sle15">
        <xdr:graphicFrame>
          <xdr:nvGraphicFramePr>
            <xdr:cNvPr id="2" name="Product Type_2"/>
            <xdr:cNvGraphicFramePr/>
          </xdr:nvGraphicFramePr>
          <xdr:xfrm>
            <a:off x="0" y="0"/>
            <a:ext cx="0" cy="0"/>
          </xdr:xfrm>
          <a:graphic>
            <a:graphicData uri="http://schemas.microsoft.com/office/drawing/2010/slicer">
              <x3Unk:slicer name="Product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01-01T00:00:00Z"/>
        <d v="2012-02-01T00:00:00Z"/>
        <d v="2012-03-01T00:00:00Z"/>
        <d v="2013-03-01T00:00:00Z"/>
        <d v="2013-06-01T00:00:00Z"/>
        <d v="2013-07-01T00:00:00Z"/>
        <d v="2013-08-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3.xml><?xml version="1.0" encoding="utf-8"?>
<pivotTableDefinition xmlns="http://schemas.openxmlformats.org/spreadsheetml/2006/main" name="Pivot Table 3" cacheId="2"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4.xml><?xml version="1.0" encoding="utf-8"?>
<pivotTableDefinition xmlns="http://schemas.openxmlformats.org/spreadsheetml/2006/main" name="Pivot Table 4" cacheId="2"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x="2"/>
        <item x="3"/>
        <item x="4"/>
        <item x="5"/>
        <item x="6"/>
        <item x="7"/>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Product">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8" sourceName="Product Type">
  <x14:extLst>
    <ext uri="{2F2917AC-EB37-4324-AD4E-5DD8C200BD13}">
      <x15:tableSlicerCache tableId="2"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1" cache="SlicerCache_Table_1_Col_1" caption="Product" rowHeight="247650"/>
  <x14:slicer name="Product Type_2" cache="SlicerCache_Table_2_Col_8" caption="Product Type" rowHeight="247650"/>
</x14:slicers>
</file>

<file path=xl/tables/table1.xml><?xml version="1.0" encoding="utf-8"?>
<table xmlns="http://schemas.openxmlformats.org/spreadsheetml/2006/main" ref="C147:E156" displayName="Table_1" name="Table_1" id="1">
  <autoFilter ref="$C$147:$E$156"/>
  <tableColumns count="3">
    <tableColumn name="Product" id="1"/>
    <tableColumn name="Profit" id="2"/>
    <tableColumn name="Sales" id="3"/>
  </tableColumns>
  <tableStyleInfo showColumnStripes="0" showFirstColumn="0" showLastColumn="0" showRowStripes="0"/>
</table>
</file>

<file path=xl/tables/table2.xml><?xml version="1.0" encoding="utf-8"?>
<table xmlns="http://schemas.openxmlformats.org/spreadsheetml/2006/main" ref="A84:U103" displayName="Table_2" name="Table_2" id="2">
  <autoFilter ref="$A$84:$U$103"/>
  <tableColumns count="21">
    <tableColumn name="Store id" id="1"/>
    <tableColumn name="Cogs" id="2"/>
    <tableColumn name="Date" id="3"/>
    <tableColumn name="Market Size" id="4"/>
    <tableColumn name="Market" id="5"/>
    <tableColumn name="Marketing" id="6"/>
    <tableColumn name="Product Line" id="7"/>
    <tableColumn name="Product Type" id="8"/>
    <tableColumn name="Product" id="9"/>
    <tableColumn name="Profit" id="10"/>
    <tableColumn name="Sales" id="11"/>
    <tableColumn name="State" id="12"/>
    <tableColumn name="Target COGS" id="13"/>
    <tableColumn name="Target Profit" id="14"/>
    <tableColumn name="Target Sales" id="15"/>
    <tableColumn name="Other Expenses" id="16"/>
    <tableColumn name="Highest total expense" id="17"/>
    <tableColumn name="Profit Margin" id="18"/>
    <tableColumn name="Year" id="19"/>
    <tableColumn name="Cost" id="20"/>
    <tableColumn name="Month" id="2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34" t="s">
        <v>98</v>
      </c>
      <c r="B134" s="19"/>
      <c r="C134" s="19"/>
      <c r="D134" s="15"/>
      <c r="E134" s="17"/>
      <c r="F134" s="18"/>
      <c r="G134" s="24"/>
      <c r="H134" s="18"/>
      <c r="I134" s="18"/>
      <c r="J134" s="5"/>
    </row>
    <row r="135">
      <c r="A135" s="34" t="s">
        <v>99</v>
      </c>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8:J18"/>
    <mergeCell ref="A19:J19"/>
    <mergeCell ref="A24:J24"/>
    <mergeCell ref="A26:J26"/>
    <mergeCell ref="A28:J28"/>
    <mergeCell ref="A31:J31"/>
    <mergeCell ref="A32:C32"/>
    <mergeCell ref="A38:J38"/>
    <mergeCell ref="A61:J61"/>
    <mergeCell ref="A66:J66"/>
    <mergeCell ref="A79:J79"/>
    <mergeCell ref="A91:J91"/>
    <mergeCell ref="A99:J99"/>
    <mergeCell ref="A104:J104"/>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75"/>
    <col customWidth="1" min="5" max="5" width="26.0"/>
  </cols>
  <sheetData>
    <row r="1">
      <c r="A1" s="38" t="s">
        <v>100</v>
      </c>
      <c r="B1" s="39"/>
      <c r="C1" s="40">
        <f>RANDBETWEEN(5, 1000)</f>
        <v>495</v>
      </c>
      <c r="D1" s="41" t="s">
        <v>101</v>
      </c>
      <c r="E1" s="39"/>
      <c r="F1" s="39"/>
      <c r="G1" s="39"/>
      <c r="H1" s="39"/>
      <c r="I1" s="39"/>
      <c r="J1" s="39"/>
      <c r="K1" s="39"/>
      <c r="L1" s="39"/>
      <c r="M1" s="39"/>
      <c r="N1" s="39"/>
      <c r="O1" s="39"/>
      <c r="P1" s="39"/>
      <c r="Q1" s="39"/>
      <c r="R1" s="39"/>
      <c r="S1" s="39"/>
      <c r="T1" s="39"/>
      <c r="U1" s="39"/>
      <c r="V1" s="39"/>
      <c r="W1" s="39"/>
      <c r="X1" s="39"/>
      <c r="Y1" s="39"/>
      <c r="Z1" s="39"/>
    </row>
    <row r="2">
      <c r="A2" s="38"/>
      <c r="B2" s="39"/>
      <c r="C2" s="40"/>
      <c r="D2" s="39"/>
      <c r="E2" s="39"/>
      <c r="F2" s="39"/>
      <c r="G2" s="39"/>
      <c r="H2" s="39"/>
      <c r="I2" s="39"/>
      <c r="J2" s="39"/>
      <c r="K2" s="39"/>
      <c r="L2" s="39"/>
      <c r="M2" s="39"/>
      <c r="N2" s="39"/>
      <c r="O2" s="39"/>
      <c r="P2" s="39"/>
      <c r="Q2" s="39"/>
      <c r="R2" s="39"/>
      <c r="S2" s="39"/>
      <c r="T2" s="39"/>
      <c r="U2" s="39"/>
      <c r="V2" s="39"/>
      <c r="W2" s="39"/>
      <c r="X2" s="39"/>
      <c r="Y2" s="39"/>
      <c r="Z2" s="39"/>
    </row>
    <row r="3">
      <c r="A3" s="38" t="s">
        <v>30</v>
      </c>
      <c r="B3" s="39"/>
      <c r="C3" s="40" t="str">
        <f>VLOOKUP(918,Practice!A84:G103, 4, false)</f>
        <v>Small Market</v>
      </c>
      <c r="D3" s="41" t="s">
        <v>102</v>
      </c>
      <c r="E3" s="39"/>
      <c r="F3" s="39"/>
      <c r="G3" s="39"/>
      <c r="H3" s="39"/>
      <c r="I3" s="39"/>
      <c r="J3" s="39"/>
      <c r="K3" s="39"/>
      <c r="L3" s="39"/>
      <c r="M3" s="39"/>
      <c r="N3" s="39"/>
      <c r="O3" s="39"/>
      <c r="P3" s="39"/>
      <c r="Q3" s="39"/>
      <c r="R3" s="39"/>
      <c r="S3" s="39"/>
      <c r="T3" s="39"/>
      <c r="U3" s="39"/>
      <c r="V3" s="39"/>
      <c r="W3" s="39"/>
      <c r="X3" s="39"/>
      <c r="Y3" s="39"/>
      <c r="Z3" s="39"/>
    </row>
    <row r="4">
      <c r="A4" s="38" t="s">
        <v>103</v>
      </c>
      <c r="B4" s="39"/>
      <c r="C4" s="40" t="str">
        <f>HLOOKUP(Practice!D84, Practice!A84:K103, 10, false)</f>
        <v>Small Market</v>
      </c>
      <c r="D4" s="41" t="s">
        <v>104</v>
      </c>
      <c r="E4" s="39"/>
      <c r="F4" s="39"/>
      <c r="G4" s="39"/>
      <c r="H4" s="39"/>
      <c r="I4" s="39"/>
      <c r="J4" s="39"/>
      <c r="K4" s="39"/>
      <c r="L4" s="39"/>
      <c r="M4" s="39"/>
      <c r="N4" s="39"/>
      <c r="O4" s="39"/>
      <c r="P4" s="39"/>
      <c r="Q4" s="39"/>
      <c r="R4" s="39"/>
      <c r="S4" s="39"/>
      <c r="T4" s="39"/>
      <c r="U4" s="39"/>
      <c r="V4" s="39"/>
      <c r="W4" s="39"/>
      <c r="X4" s="39"/>
      <c r="Y4" s="39"/>
      <c r="Z4" s="39"/>
    </row>
    <row r="5">
      <c r="A5" s="42" t="s">
        <v>73</v>
      </c>
      <c r="B5" s="43"/>
      <c r="C5" s="43"/>
      <c r="D5" s="44" t="s">
        <v>105</v>
      </c>
      <c r="E5" s="43"/>
      <c r="F5" s="43"/>
      <c r="G5" s="43"/>
      <c r="H5" s="43"/>
      <c r="I5" s="43"/>
      <c r="J5" s="43"/>
      <c r="K5" s="43"/>
      <c r="L5" s="43"/>
      <c r="M5" s="43"/>
      <c r="N5" s="43"/>
      <c r="O5" s="43"/>
      <c r="P5" s="43"/>
      <c r="Q5" s="43"/>
      <c r="R5" s="43"/>
      <c r="S5" s="43"/>
      <c r="T5" s="43"/>
      <c r="U5" s="43"/>
      <c r="V5" s="43"/>
      <c r="W5" s="43"/>
      <c r="X5" s="43"/>
      <c r="Y5" s="43"/>
      <c r="Z5" s="43"/>
    </row>
    <row r="6">
      <c r="A6" s="38"/>
      <c r="B6" s="39"/>
      <c r="C6" s="45">
        <f t="array" ref="C6:V6">XLOOKUP("Iowa", Practice!L84:L103, Practice!A84:T103,"Not Avail", 0, -1)</f>
        <v>712</v>
      </c>
      <c r="D6" s="39">
        <v>0.0</v>
      </c>
      <c r="E6" s="46">
        <v>40969.0</v>
      </c>
      <c r="F6" s="39" t="s">
        <v>106</v>
      </c>
      <c r="G6" s="39" t="s">
        <v>107</v>
      </c>
      <c r="H6" s="39">
        <v>0.0</v>
      </c>
      <c r="I6" s="39" t="s">
        <v>108</v>
      </c>
      <c r="J6" s="39" t="s">
        <v>109</v>
      </c>
      <c r="K6" s="39" t="s">
        <v>110</v>
      </c>
      <c r="L6" s="39">
        <v>31.0</v>
      </c>
      <c r="M6" s="39">
        <v>43.0</v>
      </c>
      <c r="N6" s="39" t="s">
        <v>111</v>
      </c>
      <c r="O6" s="39">
        <v>0.0</v>
      </c>
      <c r="P6" s="39">
        <v>60.0</v>
      </c>
      <c r="Q6" s="39">
        <v>60.0</v>
      </c>
      <c r="R6" s="39">
        <v>12.0</v>
      </c>
      <c r="S6" s="39">
        <v>12.0</v>
      </c>
      <c r="T6" s="39">
        <v>72.09302325581395</v>
      </c>
      <c r="U6" s="39">
        <v>2012.0</v>
      </c>
      <c r="V6" s="39">
        <v>12.0</v>
      </c>
      <c r="W6" s="39"/>
      <c r="X6" s="39"/>
      <c r="Y6" s="39"/>
      <c r="Z6" s="39"/>
    </row>
    <row r="7">
      <c r="A7" s="47"/>
      <c r="B7" s="39"/>
      <c r="C7" s="40"/>
      <c r="D7" s="39"/>
      <c r="E7" s="39"/>
      <c r="F7" s="39"/>
      <c r="G7" s="39"/>
      <c r="H7" s="39"/>
      <c r="I7" s="39"/>
      <c r="J7" s="39"/>
      <c r="K7" s="39"/>
      <c r="L7" s="39"/>
      <c r="M7" s="39"/>
      <c r="N7" s="39"/>
      <c r="O7" s="39"/>
      <c r="P7" s="39"/>
      <c r="Q7" s="39"/>
      <c r="R7" s="39"/>
      <c r="S7" s="39"/>
      <c r="T7" s="39"/>
      <c r="U7" s="39"/>
      <c r="V7" s="39"/>
      <c r="W7" s="39"/>
      <c r="X7" s="39"/>
      <c r="Y7" s="39"/>
      <c r="Z7" s="39"/>
    </row>
    <row r="8">
      <c r="A8" s="38" t="s">
        <v>112</v>
      </c>
      <c r="B8" s="39"/>
      <c r="C8" s="40" t="str">
        <f>IF(8 &gt; 5, "Eight", "Five")</f>
        <v>Eight</v>
      </c>
      <c r="D8" s="41" t="s">
        <v>113</v>
      </c>
      <c r="E8" s="39"/>
      <c r="F8" s="39"/>
      <c r="G8" s="39"/>
      <c r="H8" s="39"/>
      <c r="I8" s="39"/>
      <c r="J8" s="39"/>
      <c r="K8" s="39"/>
      <c r="L8" s="39"/>
      <c r="M8" s="39"/>
      <c r="N8" s="39"/>
      <c r="O8" s="39"/>
      <c r="P8" s="39"/>
      <c r="Q8" s="39"/>
      <c r="R8" s="39"/>
      <c r="S8" s="39"/>
      <c r="T8" s="39"/>
      <c r="U8" s="39"/>
      <c r="V8" s="39"/>
      <c r="W8" s="39"/>
      <c r="X8" s="39"/>
      <c r="Y8" s="39"/>
      <c r="Z8" s="39"/>
    </row>
    <row r="9">
      <c r="A9" s="38" t="s">
        <v>114</v>
      </c>
      <c r="B9" s="39"/>
      <c r="C9" s="40" t="str">
        <f>IFS(8 &gt; 5, "Eight", 5 &lt; 8, "Five")</f>
        <v>Eight</v>
      </c>
      <c r="D9" s="41" t="s">
        <v>115</v>
      </c>
      <c r="E9" s="39"/>
      <c r="F9" s="39"/>
      <c r="G9" s="39"/>
      <c r="H9" s="39"/>
      <c r="I9" s="39"/>
      <c r="J9" s="39"/>
      <c r="K9" s="39"/>
      <c r="L9" s="39"/>
      <c r="M9" s="39"/>
      <c r="N9" s="39"/>
      <c r="O9" s="39"/>
      <c r="P9" s="39"/>
      <c r="Q9" s="39"/>
      <c r="R9" s="39"/>
      <c r="S9" s="39"/>
      <c r="T9" s="39"/>
      <c r="U9" s="39"/>
      <c r="V9" s="39"/>
      <c r="W9" s="39"/>
      <c r="X9" s="39"/>
      <c r="Y9" s="39"/>
      <c r="Z9" s="39"/>
    </row>
    <row r="10">
      <c r="A10" s="38" t="s">
        <v>116</v>
      </c>
      <c r="B10" s="39"/>
      <c r="C10" s="40" t="str">
        <f>IF(AND(3 &lt; 4, "a" = "a", 1 = 1), "Correct", "Wrong")</f>
        <v>Correct</v>
      </c>
      <c r="D10" s="41" t="s">
        <v>117</v>
      </c>
      <c r="E10" s="39"/>
      <c r="F10" s="39"/>
      <c r="G10" s="39"/>
      <c r="H10" s="39"/>
      <c r="I10" s="39"/>
      <c r="J10" s="39"/>
      <c r="K10" s="39"/>
      <c r="L10" s="39"/>
      <c r="M10" s="39"/>
      <c r="N10" s="39"/>
      <c r="O10" s="39"/>
      <c r="P10" s="39"/>
      <c r="Q10" s="39"/>
      <c r="R10" s="39"/>
      <c r="S10" s="39"/>
      <c r="T10" s="39"/>
      <c r="U10" s="39"/>
      <c r="V10" s="39"/>
      <c r="W10" s="39"/>
      <c r="X10" s="39"/>
      <c r="Y10" s="39"/>
      <c r="Z10" s="39"/>
    </row>
    <row r="11">
      <c r="A11" s="38" t="s">
        <v>118</v>
      </c>
      <c r="B11" s="39"/>
      <c r="C11" s="40" t="str">
        <f>IF(OR(3 &gt; 4, "a" = "b", 1 = 2), "Correct", "Wrong")</f>
        <v>Wrong</v>
      </c>
      <c r="D11" s="41" t="s">
        <v>119</v>
      </c>
      <c r="E11" s="39"/>
      <c r="F11" s="39"/>
      <c r="G11" s="39"/>
      <c r="H11" s="39"/>
      <c r="I11" s="39"/>
      <c r="J11" s="39"/>
      <c r="K11" s="39"/>
      <c r="L11" s="39"/>
      <c r="M11" s="39"/>
      <c r="N11" s="39"/>
      <c r="O11" s="39"/>
      <c r="P11" s="39"/>
      <c r="Q11" s="39"/>
      <c r="R11" s="39"/>
      <c r="S11" s="39"/>
      <c r="T11" s="39"/>
      <c r="U11" s="39"/>
      <c r="V11" s="39"/>
      <c r="W11" s="39"/>
      <c r="X11" s="39"/>
      <c r="Y11" s="39"/>
      <c r="Z11" s="39"/>
    </row>
    <row r="12">
      <c r="A12" s="48"/>
      <c r="B12" s="39"/>
      <c r="C12" s="40"/>
      <c r="D12" s="39"/>
      <c r="E12" s="39"/>
      <c r="F12" s="39"/>
      <c r="G12" s="39"/>
      <c r="H12" s="39"/>
      <c r="I12" s="39"/>
      <c r="J12" s="39"/>
      <c r="K12" s="39"/>
      <c r="L12" s="39"/>
      <c r="M12" s="39"/>
      <c r="N12" s="39"/>
      <c r="O12" s="39"/>
      <c r="P12" s="39"/>
      <c r="Q12" s="39"/>
      <c r="R12" s="39"/>
      <c r="S12" s="39"/>
      <c r="T12" s="39"/>
      <c r="U12" s="39"/>
      <c r="V12" s="39"/>
      <c r="W12" s="39"/>
      <c r="X12" s="39"/>
      <c r="Y12" s="39"/>
      <c r="Z12" s="39"/>
    </row>
    <row r="13">
      <c r="A13" s="38" t="s">
        <v>120</v>
      </c>
      <c r="B13" s="39"/>
      <c r="C13" s="40" t="str">
        <f>CONCATENATE(C19, " ", C17, " ", C18)</f>
        <v>Badu fala pala</v>
      </c>
      <c r="D13" s="41" t="s">
        <v>121</v>
      </c>
      <c r="E13" s="39"/>
      <c r="F13" s="39"/>
      <c r="G13" s="39"/>
      <c r="H13" s="39"/>
      <c r="I13" s="39"/>
      <c r="J13" s="39"/>
      <c r="K13" s="39"/>
      <c r="L13" s="39"/>
      <c r="M13" s="39"/>
      <c r="N13" s="39"/>
      <c r="O13" s="39"/>
      <c r="P13" s="39"/>
      <c r="Q13" s="39"/>
      <c r="R13" s="39"/>
      <c r="S13" s="39"/>
      <c r="T13" s="39"/>
      <c r="U13" s="39"/>
      <c r="V13" s="39"/>
      <c r="W13" s="39"/>
      <c r="X13" s="39"/>
      <c r="Y13" s="39"/>
      <c r="Z13" s="39"/>
    </row>
    <row r="14">
      <c r="A14" s="38" t="s">
        <v>122</v>
      </c>
      <c r="B14" s="39"/>
      <c r="C14" s="40" t="str">
        <f>UPPER("hApApa maPUpu")</f>
        <v>HAPAPA MAPUPU</v>
      </c>
      <c r="D14" s="41" t="s">
        <v>123</v>
      </c>
      <c r="E14" s="39"/>
      <c r="F14" s="39"/>
      <c r="G14" s="39"/>
      <c r="H14" s="39"/>
      <c r="I14" s="39"/>
      <c r="J14" s="39"/>
      <c r="K14" s="39"/>
      <c r="L14" s="39"/>
      <c r="M14" s="39"/>
      <c r="N14" s="39"/>
      <c r="O14" s="39"/>
      <c r="P14" s="39"/>
      <c r="Q14" s="39"/>
      <c r="R14" s="39"/>
      <c r="S14" s="39"/>
      <c r="T14" s="39"/>
      <c r="U14" s="39"/>
      <c r="V14" s="39"/>
      <c r="W14" s="39"/>
      <c r="X14" s="39"/>
      <c r="Y14" s="39"/>
      <c r="Z14" s="39"/>
    </row>
    <row r="15">
      <c r="A15" s="38" t="s">
        <v>124</v>
      </c>
      <c r="B15" s="39"/>
      <c r="C15" s="40" t="str">
        <f>LOWER("hApApa maPUpu")</f>
        <v>hapapa mapupu</v>
      </c>
      <c r="D15" s="41" t="s">
        <v>125</v>
      </c>
      <c r="E15" s="39"/>
      <c r="F15" s="39"/>
      <c r="G15" s="39"/>
      <c r="H15" s="39"/>
      <c r="I15" s="39"/>
      <c r="J15" s="39"/>
      <c r="K15" s="39"/>
      <c r="L15" s="39"/>
      <c r="M15" s="39"/>
      <c r="N15" s="39"/>
      <c r="O15" s="39"/>
      <c r="P15" s="39"/>
      <c r="Q15" s="39"/>
      <c r="R15" s="39"/>
      <c r="S15" s="39"/>
      <c r="T15" s="39"/>
      <c r="U15" s="39"/>
      <c r="V15" s="39"/>
      <c r="W15" s="39"/>
      <c r="X15" s="39"/>
      <c r="Y15" s="39"/>
      <c r="Z15" s="39"/>
    </row>
    <row r="16">
      <c r="A16" s="38" t="s">
        <v>126</v>
      </c>
      <c r="B16" s="39"/>
      <c r="C16" s="40" t="str">
        <f>PROPER("hApApa maPUpu")</f>
        <v>Hapapa Mapupu</v>
      </c>
      <c r="D16" s="41" t="s">
        <v>127</v>
      </c>
      <c r="E16" s="39"/>
      <c r="F16" s="39"/>
      <c r="G16" s="39"/>
      <c r="H16" s="39"/>
      <c r="I16" s="39"/>
      <c r="J16" s="39"/>
      <c r="K16" s="39"/>
      <c r="L16" s="39"/>
      <c r="M16" s="39"/>
      <c r="N16" s="39"/>
      <c r="O16" s="39"/>
      <c r="P16" s="39"/>
      <c r="Q16" s="39"/>
      <c r="R16" s="39"/>
      <c r="S16" s="39"/>
      <c r="T16" s="39"/>
      <c r="U16" s="39"/>
      <c r="V16" s="39"/>
      <c r="W16" s="39"/>
      <c r="X16" s="39"/>
      <c r="Y16" s="39"/>
      <c r="Z16" s="39"/>
    </row>
    <row r="17">
      <c r="A17" s="38" t="s">
        <v>128</v>
      </c>
      <c r="B17" s="39"/>
      <c r="C17" s="40" t="str">
        <f>LEFT("falapala", 4)</f>
        <v>fala</v>
      </c>
      <c r="D17" s="41" t="s">
        <v>129</v>
      </c>
      <c r="E17" s="39"/>
      <c r="F17" s="39"/>
      <c r="G17" s="39"/>
      <c r="H17" s="39"/>
      <c r="I17" s="39"/>
      <c r="J17" s="39"/>
      <c r="K17" s="39"/>
      <c r="L17" s="39"/>
      <c r="M17" s="39"/>
      <c r="N17" s="39"/>
      <c r="O17" s="39"/>
      <c r="P17" s="39"/>
      <c r="Q17" s="39"/>
      <c r="R17" s="39"/>
      <c r="S17" s="39"/>
      <c r="T17" s="39"/>
      <c r="U17" s="39"/>
      <c r="V17" s="39"/>
      <c r="W17" s="39"/>
      <c r="X17" s="39"/>
      <c r="Y17" s="39"/>
      <c r="Z17" s="39"/>
    </row>
    <row r="18">
      <c r="A18" s="38" t="s">
        <v>130</v>
      </c>
      <c r="B18" s="39"/>
      <c r="C18" s="49" t="str">
        <f>RIGHT("falapala", 4)</f>
        <v>pala</v>
      </c>
      <c r="D18" s="41" t="s">
        <v>131</v>
      </c>
      <c r="E18" s="39"/>
      <c r="F18" s="39"/>
      <c r="G18" s="39"/>
      <c r="H18" s="39"/>
      <c r="I18" s="39"/>
      <c r="J18" s="39"/>
      <c r="K18" s="39"/>
      <c r="L18" s="39"/>
      <c r="M18" s="39"/>
      <c r="N18" s="39"/>
      <c r="O18" s="39"/>
      <c r="P18" s="39"/>
      <c r="Q18" s="39"/>
      <c r="R18" s="39"/>
      <c r="S18" s="39"/>
      <c r="T18" s="39"/>
      <c r="U18" s="39"/>
      <c r="V18" s="39"/>
      <c r="W18" s="39"/>
      <c r="X18" s="39"/>
      <c r="Y18" s="39"/>
      <c r="Z18" s="39"/>
    </row>
    <row r="19">
      <c r="A19" s="38" t="s">
        <v>132</v>
      </c>
      <c r="B19" s="39"/>
      <c r="C19" s="40" t="str">
        <f>MID("Badudumadu madapa", 1, 4)</f>
        <v>Badu</v>
      </c>
      <c r="D19" s="41" t="s">
        <v>133</v>
      </c>
      <c r="E19" s="39"/>
      <c r="F19" s="39"/>
      <c r="G19" s="39"/>
      <c r="H19" s="39"/>
      <c r="I19" s="39"/>
      <c r="J19" s="39"/>
      <c r="K19" s="39"/>
      <c r="L19" s="39"/>
      <c r="M19" s="39"/>
      <c r="N19" s="39"/>
      <c r="O19" s="39"/>
      <c r="P19" s="39"/>
      <c r="Q19" s="39"/>
      <c r="R19" s="39"/>
      <c r="S19" s="39"/>
      <c r="T19" s="39"/>
      <c r="U19" s="39"/>
      <c r="V19" s="39"/>
      <c r="W19" s="39"/>
      <c r="X19" s="39"/>
      <c r="Y19" s="39"/>
      <c r="Z19" s="39"/>
    </row>
    <row r="20">
      <c r="A20" s="38" t="s">
        <v>134</v>
      </c>
      <c r="B20" s="39"/>
      <c r="C20" s="40">
        <f>LEN("Majajbaja")</f>
        <v>9</v>
      </c>
      <c r="D20" s="41" t="s">
        <v>135</v>
      </c>
      <c r="E20" s="39"/>
      <c r="F20" s="39"/>
      <c r="G20" s="39"/>
      <c r="H20" s="39"/>
      <c r="I20" s="39"/>
      <c r="J20" s="39"/>
      <c r="K20" s="39"/>
      <c r="L20" s="39"/>
      <c r="M20" s="39"/>
      <c r="N20" s="39"/>
      <c r="O20" s="39"/>
      <c r="P20" s="39"/>
      <c r="Q20" s="39"/>
      <c r="R20" s="39"/>
      <c r="S20" s="39"/>
      <c r="T20" s="39"/>
      <c r="U20" s="39"/>
      <c r="V20" s="39"/>
      <c r="W20" s="39"/>
      <c r="X20" s="39"/>
      <c r="Y20" s="39"/>
      <c r="Z20" s="39"/>
    </row>
    <row r="21">
      <c r="A21" s="48"/>
      <c r="B21" s="39"/>
      <c r="C21" s="40"/>
      <c r="D21" s="39"/>
      <c r="E21" s="39"/>
      <c r="F21" s="39"/>
      <c r="G21" s="39"/>
      <c r="H21" s="39"/>
      <c r="I21" s="39"/>
      <c r="J21" s="39"/>
      <c r="K21" s="39"/>
      <c r="L21" s="39"/>
      <c r="M21" s="39"/>
      <c r="N21" s="39"/>
      <c r="O21" s="39"/>
      <c r="P21" s="39"/>
      <c r="Q21" s="39"/>
      <c r="R21" s="39"/>
      <c r="S21" s="39"/>
      <c r="T21" s="39"/>
      <c r="U21" s="39"/>
      <c r="V21" s="39"/>
      <c r="W21" s="39"/>
      <c r="X21" s="39"/>
      <c r="Y21" s="39"/>
      <c r="Z21" s="39"/>
    </row>
    <row r="22">
      <c r="A22" s="38" t="s">
        <v>136</v>
      </c>
      <c r="B22" s="39"/>
      <c r="C22" s="40">
        <f>YEAR("10/1/2012")</f>
        <v>2012</v>
      </c>
      <c r="D22" s="41" t="s">
        <v>137</v>
      </c>
      <c r="E22" s="39"/>
      <c r="F22" s="39"/>
      <c r="G22" s="39"/>
      <c r="H22" s="39"/>
      <c r="I22" s="39"/>
      <c r="J22" s="39"/>
      <c r="K22" s="39"/>
      <c r="L22" s="39"/>
      <c r="M22" s="39"/>
      <c r="N22" s="39"/>
      <c r="O22" s="39"/>
      <c r="P22" s="39"/>
      <c r="Q22" s="39"/>
      <c r="R22" s="39"/>
      <c r="S22" s="39"/>
      <c r="T22" s="39"/>
      <c r="U22" s="39"/>
      <c r="V22" s="39"/>
      <c r="W22" s="39"/>
      <c r="X22" s="39"/>
      <c r="Y22" s="39"/>
      <c r="Z22" s="39"/>
    </row>
    <row r="23">
      <c r="A23" s="38" t="s">
        <v>138</v>
      </c>
      <c r="B23" s="39"/>
      <c r="C23" s="40">
        <f>MONTH("10/1/2012")</f>
        <v>10</v>
      </c>
      <c r="D23" s="41" t="s">
        <v>139</v>
      </c>
      <c r="E23" s="39"/>
      <c r="F23" s="39"/>
      <c r="G23" s="39"/>
      <c r="H23" s="39"/>
      <c r="I23" s="39"/>
      <c r="J23" s="39"/>
      <c r="K23" s="39"/>
      <c r="L23" s="39"/>
      <c r="M23" s="39"/>
      <c r="N23" s="39"/>
      <c r="O23" s="39"/>
      <c r="P23" s="39"/>
      <c r="Q23" s="39"/>
      <c r="R23" s="39"/>
      <c r="S23" s="39"/>
      <c r="T23" s="39"/>
      <c r="U23" s="39"/>
      <c r="V23" s="39"/>
      <c r="W23" s="39"/>
      <c r="X23" s="39"/>
      <c r="Y23" s="39"/>
      <c r="Z23" s="39"/>
    </row>
    <row r="24">
      <c r="A24" s="38" t="s">
        <v>140</v>
      </c>
      <c r="B24" s="39"/>
      <c r="C24" s="40">
        <f>DAY("10/1/2012")</f>
        <v>1</v>
      </c>
      <c r="D24" s="41" t="s">
        <v>141</v>
      </c>
      <c r="E24" s="39"/>
      <c r="F24" s="39"/>
      <c r="G24" s="39"/>
      <c r="H24" s="39"/>
      <c r="I24" s="39"/>
      <c r="J24" s="39"/>
      <c r="K24" s="39"/>
      <c r="L24" s="39"/>
      <c r="M24" s="39"/>
      <c r="N24" s="39"/>
      <c r="O24" s="39"/>
      <c r="P24" s="39"/>
      <c r="Q24" s="39"/>
      <c r="R24" s="39"/>
      <c r="S24" s="39"/>
      <c r="T24" s="39"/>
      <c r="U24" s="39"/>
      <c r="V24" s="39"/>
      <c r="W24" s="39"/>
      <c r="X24" s="39"/>
      <c r="Y24" s="39"/>
      <c r="Z24" s="39"/>
    </row>
    <row r="25">
      <c r="A25" s="38" t="s">
        <v>142</v>
      </c>
      <c r="B25" s="39"/>
      <c r="C25" s="50">
        <f>DATE(C22,C23,C24)</f>
        <v>41183</v>
      </c>
      <c r="D25" s="41" t="s">
        <v>143</v>
      </c>
      <c r="E25" s="39"/>
      <c r="F25" s="39"/>
      <c r="G25" s="39"/>
      <c r="H25" s="39"/>
      <c r="I25" s="39"/>
      <c r="J25" s="39"/>
      <c r="K25" s="39"/>
      <c r="L25" s="39"/>
      <c r="M25" s="39"/>
      <c r="N25" s="39"/>
      <c r="O25" s="39"/>
      <c r="P25" s="39"/>
      <c r="Q25" s="39"/>
      <c r="R25" s="39"/>
      <c r="S25" s="39"/>
      <c r="T25" s="39"/>
      <c r="U25" s="39"/>
      <c r="V25" s="39"/>
      <c r="W25" s="39"/>
      <c r="X25" s="39"/>
      <c r="Y25" s="39"/>
      <c r="Z25" s="39"/>
    </row>
    <row r="26">
      <c r="A26" s="38" t="s">
        <v>144</v>
      </c>
      <c r="B26" s="39"/>
      <c r="C26" s="40" t="str">
        <f>TEXT("10/1/2012", "MMM")</f>
        <v>Oct</v>
      </c>
      <c r="D26" s="41" t="s">
        <v>145</v>
      </c>
      <c r="E26" s="39"/>
      <c r="F26" s="39"/>
      <c r="G26" s="39"/>
      <c r="H26" s="39"/>
      <c r="I26" s="39"/>
      <c r="J26" s="39"/>
      <c r="K26" s="39"/>
      <c r="L26" s="39"/>
      <c r="M26" s="39"/>
      <c r="N26" s="39"/>
      <c r="O26" s="39"/>
      <c r="P26" s="39"/>
      <c r="Q26" s="39"/>
      <c r="R26" s="39"/>
      <c r="S26" s="39"/>
      <c r="T26" s="39"/>
      <c r="U26" s="39"/>
      <c r="V26" s="39"/>
      <c r="W26" s="39"/>
      <c r="X26" s="39"/>
      <c r="Y26" s="39"/>
      <c r="Z26" s="39"/>
    </row>
    <row r="27">
      <c r="A27" s="48"/>
      <c r="B27" s="39"/>
      <c r="C27" s="40"/>
      <c r="D27" s="39"/>
      <c r="E27" s="39"/>
      <c r="F27" s="39"/>
      <c r="G27" s="39"/>
      <c r="H27" s="39"/>
      <c r="I27" s="39"/>
      <c r="J27" s="39"/>
      <c r="K27" s="39"/>
      <c r="L27" s="39"/>
      <c r="M27" s="39"/>
      <c r="N27" s="39"/>
      <c r="O27" s="39"/>
      <c r="P27" s="39"/>
      <c r="Q27" s="39"/>
      <c r="R27" s="39"/>
      <c r="S27" s="39"/>
      <c r="T27" s="39"/>
      <c r="U27" s="39"/>
      <c r="V27" s="39"/>
      <c r="W27" s="39"/>
      <c r="X27" s="39"/>
      <c r="Y27" s="39"/>
      <c r="Z27" s="39"/>
    </row>
    <row r="28">
      <c r="A28" s="38" t="s">
        <v>146</v>
      </c>
      <c r="B28" s="39"/>
      <c r="C28" s="40">
        <f>SUM(Practice!B42, Practice!D42)</f>
        <v>197</v>
      </c>
      <c r="D28" s="41" t="s">
        <v>147</v>
      </c>
      <c r="E28" s="39"/>
      <c r="F28" s="39"/>
      <c r="G28" s="39"/>
      <c r="H28" s="39"/>
      <c r="I28" s="39"/>
      <c r="J28" s="39"/>
      <c r="K28" s="39"/>
      <c r="L28" s="39"/>
      <c r="M28" s="39"/>
      <c r="N28" s="39"/>
      <c r="O28" s="39"/>
      <c r="P28" s="39"/>
      <c r="Q28" s="39"/>
      <c r="R28" s="39"/>
      <c r="S28" s="39"/>
      <c r="T28" s="39"/>
      <c r="U28" s="39"/>
      <c r="V28" s="39"/>
      <c r="W28" s="39"/>
      <c r="X28" s="39"/>
      <c r="Y28" s="39"/>
      <c r="Z28" s="39"/>
    </row>
    <row r="29">
      <c r="A29" s="47" t="s">
        <v>146</v>
      </c>
      <c r="B29" s="39"/>
      <c r="C29" s="40">
        <f>SUM(Practice!H23:H37)</f>
        <v>14</v>
      </c>
      <c r="D29" s="41" t="s">
        <v>148</v>
      </c>
      <c r="E29" s="39"/>
      <c r="F29" s="39"/>
      <c r="G29" s="39"/>
      <c r="H29" s="39"/>
      <c r="I29" s="39"/>
      <c r="J29" s="39"/>
      <c r="K29" s="39"/>
      <c r="L29" s="39"/>
      <c r="M29" s="39"/>
      <c r="N29" s="39"/>
      <c r="O29" s="39"/>
      <c r="P29" s="39"/>
      <c r="Q29" s="39"/>
      <c r="R29" s="39"/>
      <c r="S29" s="39"/>
      <c r="T29" s="39"/>
      <c r="U29" s="39"/>
      <c r="V29" s="39"/>
      <c r="W29" s="39"/>
      <c r="X29" s="39"/>
      <c r="Y29" s="39"/>
      <c r="Z29" s="39"/>
    </row>
    <row r="30">
      <c r="A30" s="47" t="s">
        <v>149</v>
      </c>
      <c r="B30" s="39"/>
      <c r="C30" s="40">
        <f>SUMIF(Practice!G23:G37, "GJ Maxwell", Practice!H23:H37)</f>
        <v>8</v>
      </c>
      <c r="D30" s="41" t="s">
        <v>150</v>
      </c>
      <c r="E30" s="39"/>
      <c r="F30" s="39"/>
      <c r="G30" s="39"/>
      <c r="H30" s="39"/>
      <c r="I30" s="39"/>
      <c r="J30" s="39"/>
      <c r="K30" s="39"/>
      <c r="L30" s="39"/>
      <c r="M30" s="39"/>
      <c r="N30" s="39"/>
      <c r="O30" s="39"/>
      <c r="P30" s="39"/>
      <c r="Q30" s="39"/>
      <c r="R30" s="39"/>
      <c r="S30" s="39"/>
      <c r="T30" s="39"/>
      <c r="U30" s="39"/>
      <c r="V30" s="39"/>
      <c r="W30" s="39"/>
      <c r="X30" s="39"/>
      <c r="Y30" s="39"/>
      <c r="Z30" s="39"/>
    </row>
    <row r="31">
      <c r="A31" s="47" t="s">
        <v>151</v>
      </c>
      <c r="B31" s="39"/>
      <c r="C31" s="40">
        <f>SUMIFS(Practice!P84:P103, Practice!L84:L103, "Utah", Practice!H84:H103, "Herbal Tea")</f>
        <v>38</v>
      </c>
      <c r="D31" s="41" t="s">
        <v>152</v>
      </c>
      <c r="E31" s="39"/>
      <c r="F31" s="39"/>
      <c r="G31" s="39"/>
      <c r="H31" s="39"/>
      <c r="I31" s="39"/>
      <c r="J31" s="39"/>
      <c r="K31" s="39"/>
      <c r="L31" s="39"/>
      <c r="M31" s="39"/>
      <c r="N31" s="39"/>
      <c r="O31" s="39"/>
      <c r="P31" s="39"/>
      <c r="Q31" s="39"/>
      <c r="R31" s="39"/>
      <c r="S31" s="39"/>
      <c r="T31" s="39"/>
      <c r="U31" s="39"/>
      <c r="V31" s="39"/>
      <c r="W31" s="39"/>
      <c r="X31" s="39"/>
      <c r="Y31" s="39"/>
      <c r="Z31" s="39"/>
    </row>
    <row r="32">
      <c r="A32" s="47" t="s">
        <v>153</v>
      </c>
      <c r="B32" s="39"/>
      <c r="C32" s="40">
        <f>SUMPRODUCT(Practice!T84:T103,Practice!J84:J103)</f>
        <v>30114</v>
      </c>
      <c r="D32" s="41" t="s">
        <v>154</v>
      </c>
      <c r="E32" s="39"/>
      <c r="F32" s="39"/>
      <c r="G32" s="39"/>
      <c r="H32" s="39"/>
      <c r="I32" s="39"/>
      <c r="J32" s="39"/>
      <c r="K32" s="39"/>
      <c r="L32" s="39"/>
      <c r="M32" s="39"/>
      <c r="N32" s="39"/>
      <c r="O32" s="39"/>
      <c r="P32" s="39"/>
      <c r="Q32" s="39"/>
      <c r="R32" s="39"/>
      <c r="S32" s="39"/>
      <c r="T32" s="39"/>
      <c r="U32" s="39"/>
      <c r="V32" s="39"/>
      <c r="W32" s="39"/>
      <c r="X32" s="39"/>
      <c r="Y32" s="39"/>
      <c r="Z32" s="39"/>
    </row>
    <row r="33">
      <c r="A33" s="47"/>
      <c r="B33" s="39"/>
      <c r="C33" s="40"/>
      <c r="D33" s="39"/>
      <c r="E33" s="39"/>
      <c r="F33" s="39"/>
      <c r="G33" s="39"/>
      <c r="H33" s="39"/>
      <c r="I33" s="39"/>
      <c r="J33" s="39"/>
      <c r="K33" s="39"/>
      <c r="L33" s="39"/>
      <c r="M33" s="39"/>
      <c r="N33" s="39"/>
      <c r="O33" s="39"/>
      <c r="P33" s="39"/>
      <c r="Q33" s="39"/>
      <c r="R33" s="39"/>
      <c r="S33" s="39"/>
      <c r="T33" s="39"/>
      <c r="U33" s="39"/>
      <c r="V33" s="39"/>
      <c r="W33" s="39"/>
      <c r="X33" s="39"/>
      <c r="Y33" s="39"/>
      <c r="Z33" s="39"/>
    </row>
    <row r="34">
      <c r="A34" s="47" t="s">
        <v>155</v>
      </c>
      <c r="B34" s="39"/>
      <c r="C34" s="40">
        <f>MAX(Practice!K84:K103)</f>
        <v>182</v>
      </c>
      <c r="D34" s="41" t="s">
        <v>156</v>
      </c>
      <c r="E34" s="39"/>
      <c r="F34" s="39"/>
      <c r="G34" s="39"/>
      <c r="H34" s="39"/>
      <c r="I34" s="39"/>
      <c r="J34" s="39"/>
      <c r="K34" s="39"/>
      <c r="L34" s="39"/>
      <c r="M34" s="39"/>
      <c r="N34" s="39"/>
      <c r="O34" s="39"/>
      <c r="P34" s="39"/>
      <c r="Q34" s="39"/>
      <c r="R34" s="39"/>
      <c r="S34" s="39"/>
      <c r="T34" s="39"/>
      <c r="U34" s="39"/>
      <c r="V34" s="39"/>
      <c r="W34" s="39"/>
      <c r="X34" s="39"/>
      <c r="Y34" s="39"/>
      <c r="Z34" s="39"/>
    </row>
    <row r="35">
      <c r="A35" s="47" t="s">
        <v>157</v>
      </c>
      <c r="B35" s="39"/>
      <c r="C35" s="40">
        <f>MIN(Practice!K84:K103)</f>
        <v>43</v>
      </c>
      <c r="D35" s="41" t="s">
        <v>158</v>
      </c>
      <c r="E35" s="39"/>
      <c r="F35" s="39"/>
      <c r="G35" s="39"/>
      <c r="H35" s="39"/>
      <c r="I35" s="39"/>
      <c r="J35" s="39"/>
      <c r="K35" s="39"/>
      <c r="L35" s="39"/>
      <c r="M35" s="39"/>
      <c r="N35" s="39"/>
      <c r="O35" s="39"/>
      <c r="P35" s="39"/>
      <c r="Q35" s="39"/>
      <c r="R35" s="39"/>
      <c r="S35" s="39"/>
      <c r="T35" s="39"/>
      <c r="U35" s="39"/>
      <c r="V35" s="39"/>
      <c r="W35" s="39"/>
      <c r="X35" s="39"/>
      <c r="Y35" s="39"/>
      <c r="Z35" s="39"/>
    </row>
    <row r="36">
      <c r="A36" s="48"/>
      <c r="B36" s="39"/>
      <c r="C36" s="40"/>
      <c r="D36" s="39"/>
      <c r="E36" s="39"/>
      <c r="F36" s="39"/>
      <c r="G36" s="39"/>
      <c r="H36" s="39"/>
      <c r="I36" s="39"/>
      <c r="J36" s="39"/>
      <c r="K36" s="39"/>
      <c r="L36" s="39"/>
      <c r="M36" s="39"/>
      <c r="N36" s="39"/>
      <c r="O36" s="39"/>
      <c r="P36" s="39"/>
      <c r="Q36" s="39"/>
      <c r="R36" s="39"/>
      <c r="S36" s="39"/>
      <c r="T36" s="39"/>
      <c r="U36" s="39"/>
      <c r="V36" s="39"/>
      <c r="W36" s="39"/>
      <c r="X36" s="39"/>
      <c r="Y36" s="39"/>
      <c r="Z36" s="39"/>
    </row>
    <row r="37">
      <c r="A37" s="38" t="s">
        <v>159</v>
      </c>
      <c r="B37" s="39"/>
      <c r="C37" s="40">
        <f>COUNT(Practice!A5:A20)</f>
        <v>15</v>
      </c>
      <c r="D37" s="41" t="s">
        <v>160</v>
      </c>
      <c r="E37" s="39"/>
      <c r="F37" s="39"/>
      <c r="G37" s="39"/>
      <c r="H37" s="39"/>
      <c r="I37" s="39"/>
      <c r="J37" s="39"/>
      <c r="K37" s="39"/>
      <c r="L37" s="39"/>
      <c r="M37" s="39"/>
      <c r="N37" s="39"/>
      <c r="O37" s="39"/>
      <c r="P37" s="39"/>
      <c r="Q37" s="39"/>
      <c r="R37" s="39"/>
      <c r="S37" s="39"/>
      <c r="T37" s="39"/>
      <c r="U37" s="39"/>
      <c r="V37" s="39"/>
      <c r="W37" s="39"/>
      <c r="X37" s="39"/>
      <c r="Y37" s="39"/>
      <c r="Z37" s="39"/>
    </row>
    <row r="38">
      <c r="A38" s="38" t="s">
        <v>161</v>
      </c>
      <c r="B38" s="39"/>
      <c r="C38" s="40">
        <f>COUNTIF(Practice!A5:A20, "&gt;335989")</f>
        <v>7</v>
      </c>
      <c r="D38" s="41" t="s">
        <v>162</v>
      </c>
      <c r="E38" s="39"/>
      <c r="F38" s="39"/>
      <c r="G38" s="39"/>
      <c r="H38" s="39"/>
      <c r="I38" s="39"/>
      <c r="J38" s="39"/>
      <c r="K38" s="39"/>
      <c r="L38" s="39"/>
      <c r="M38" s="39"/>
      <c r="N38" s="39"/>
      <c r="O38" s="39"/>
      <c r="P38" s="39"/>
      <c r="Q38" s="39"/>
      <c r="R38" s="39"/>
      <c r="S38" s="39"/>
      <c r="T38" s="39"/>
      <c r="U38" s="39"/>
      <c r="V38" s="39"/>
      <c r="W38" s="39"/>
      <c r="X38" s="39"/>
      <c r="Y38" s="39"/>
      <c r="Z38" s="39"/>
    </row>
    <row r="39">
      <c r="A39" s="38" t="s">
        <v>163</v>
      </c>
      <c r="B39" s="39"/>
      <c r="C39" s="40">
        <f>COUNTA(Practice!B5:B20)</f>
        <v>16</v>
      </c>
      <c r="D39" s="41" t="s">
        <v>164</v>
      </c>
      <c r="E39" s="39"/>
      <c r="F39" s="39"/>
      <c r="G39" s="39"/>
      <c r="H39" s="39"/>
      <c r="I39" s="39"/>
      <c r="J39" s="39"/>
      <c r="K39" s="39"/>
      <c r="L39" s="39"/>
      <c r="M39" s="39"/>
      <c r="N39" s="39"/>
      <c r="O39" s="39"/>
      <c r="P39" s="39"/>
      <c r="Q39" s="39"/>
      <c r="R39" s="39"/>
      <c r="S39" s="39"/>
      <c r="T39" s="39"/>
      <c r="U39" s="39"/>
      <c r="V39" s="39"/>
      <c r="W39" s="39"/>
      <c r="X39" s="39"/>
      <c r="Y39" s="39"/>
      <c r="Z39" s="39"/>
    </row>
    <row r="40">
      <c r="A40" s="38" t="s">
        <v>161</v>
      </c>
      <c r="B40" s="39"/>
      <c r="C40" s="40">
        <f>COUNTIF(Practice!B5:B20, "Bengaluru")</f>
        <v>3</v>
      </c>
      <c r="D40" s="41" t="s">
        <v>165</v>
      </c>
      <c r="E40" s="39"/>
      <c r="F40" s="39"/>
      <c r="G40" s="39"/>
      <c r="H40" s="39"/>
      <c r="I40" s="39"/>
      <c r="J40" s="39"/>
      <c r="K40" s="39"/>
      <c r="L40" s="39"/>
      <c r="M40" s="39"/>
      <c r="N40" s="39"/>
      <c r="O40" s="39"/>
      <c r="P40" s="39"/>
      <c r="Q40" s="39"/>
      <c r="R40" s="39"/>
      <c r="S40" s="39"/>
      <c r="T40" s="39"/>
      <c r="U40" s="39"/>
      <c r="V40" s="39"/>
      <c r="W40" s="39"/>
      <c r="X40" s="39"/>
      <c r="Y40" s="39"/>
      <c r="Z40" s="39"/>
    </row>
    <row r="41">
      <c r="A41" s="48"/>
      <c r="B41" s="39"/>
      <c r="C41" s="40"/>
      <c r="D41" s="39"/>
      <c r="E41" s="39"/>
      <c r="F41" s="39"/>
      <c r="G41" s="39"/>
      <c r="H41" s="39"/>
      <c r="I41" s="39"/>
      <c r="J41" s="39"/>
      <c r="K41" s="39"/>
      <c r="L41" s="39"/>
      <c r="M41" s="39"/>
      <c r="N41" s="39"/>
      <c r="O41" s="39"/>
      <c r="P41" s="39"/>
      <c r="Q41" s="39"/>
      <c r="R41" s="39"/>
      <c r="S41" s="39"/>
      <c r="T41" s="39"/>
      <c r="U41" s="39"/>
      <c r="V41" s="39"/>
      <c r="W41" s="39"/>
      <c r="X41" s="39"/>
      <c r="Y41" s="39"/>
      <c r="Z41" s="39"/>
    </row>
    <row r="42">
      <c r="A42" s="38" t="s">
        <v>166</v>
      </c>
      <c r="B42" s="39"/>
      <c r="C42" s="40">
        <f>AVERAGE(Practice!J23:J37)</f>
        <v>1.285714286</v>
      </c>
      <c r="D42" s="41" t="s">
        <v>167</v>
      </c>
      <c r="E42" s="39"/>
      <c r="F42" s="39"/>
      <c r="G42" s="39"/>
      <c r="H42" s="39"/>
      <c r="I42" s="39"/>
      <c r="J42" s="39"/>
      <c r="K42" s="39"/>
      <c r="L42" s="39"/>
      <c r="M42" s="39"/>
      <c r="N42" s="39"/>
      <c r="O42" s="39"/>
      <c r="P42" s="39"/>
      <c r="Q42" s="39"/>
      <c r="R42" s="39"/>
      <c r="S42" s="39"/>
      <c r="T42" s="39"/>
      <c r="U42" s="39"/>
      <c r="V42" s="39"/>
      <c r="W42" s="39"/>
      <c r="X42" s="39"/>
      <c r="Y42" s="39"/>
      <c r="Z42" s="39"/>
    </row>
    <row r="43">
      <c r="A43" s="38" t="s">
        <v>168</v>
      </c>
      <c r="B43" s="39"/>
      <c r="C43" s="40">
        <f>AVERAGEIF(Practice!F84:F103, "&gt;20", Practice!K84:K103)</f>
        <v>133.2</v>
      </c>
      <c r="D43" s="41" t="s">
        <v>169</v>
      </c>
      <c r="E43" s="39"/>
      <c r="F43" s="39"/>
      <c r="G43" s="39"/>
      <c r="H43" s="39"/>
      <c r="I43" s="39"/>
      <c r="J43" s="39"/>
      <c r="K43" s="39"/>
      <c r="L43" s="39"/>
      <c r="M43" s="39"/>
      <c r="N43" s="39"/>
      <c r="O43" s="39"/>
      <c r="P43" s="39"/>
      <c r="Q43" s="39"/>
      <c r="R43" s="39"/>
      <c r="S43" s="39"/>
      <c r="T43" s="39"/>
      <c r="U43" s="39"/>
      <c r="V43" s="39"/>
      <c r="W43" s="39"/>
      <c r="X43" s="39"/>
      <c r="Y43" s="39"/>
      <c r="Z43" s="39"/>
    </row>
    <row r="44">
      <c r="A44" s="38" t="s">
        <v>170</v>
      </c>
      <c r="B44" s="39"/>
      <c r="C44" s="40">
        <f>MEDIAN(Practice!B42:D42)</f>
        <v>106</v>
      </c>
      <c r="D44" s="41" t="s">
        <v>171</v>
      </c>
      <c r="E44" s="39"/>
      <c r="F44" s="39"/>
      <c r="G44" s="39"/>
      <c r="H44" s="39"/>
      <c r="I44" s="39"/>
      <c r="J44" s="39"/>
      <c r="K44" s="39"/>
      <c r="L44" s="39"/>
      <c r="M44" s="39"/>
      <c r="N44" s="39"/>
      <c r="O44" s="39"/>
      <c r="P44" s="39"/>
      <c r="Q44" s="39"/>
      <c r="R44" s="39"/>
      <c r="S44" s="39"/>
      <c r="T44" s="39"/>
      <c r="U44" s="39"/>
      <c r="V44" s="39"/>
      <c r="W44" s="39"/>
      <c r="X44" s="39"/>
      <c r="Y44" s="39"/>
      <c r="Z44" s="39"/>
    </row>
    <row r="45">
      <c r="A45" s="38" t="s">
        <v>172</v>
      </c>
      <c r="B45" s="39"/>
      <c r="C45" s="40">
        <f>MODE(Practice!O84:O103)</f>
        <v>90</v>
      </c>
      <c r="D45" s="41" t="s">
        <v>173</v>
      </c>
      <c r="E45" s="39"/>
      <c r="F45" s="39"/>
      <c r="G45" s="39"/>
      <c r="H45" s="39"/>
      <c r="I45" s="39"/>
      <c r="J45" s="39"/>
      <c r="K45" s="39"/>
      <c r="L45" s="39"/>
      <c r="M45" s="39"/>
      <c r="N45" s="39"/>
      <c r="O45" s="39"/>
      <c r="P45" s="39"/>
      <c r="Q45" s="39"/>
      <c r="R45" s="39"/>
      <c r="S45" s="39"/>
      <c r="T45" s="39"/>
      <c r="U45" s="39"/>
      <c r="V45" s="39"/>
      <c r="W45" s="39"/>
      <c r="X45" s="39"/>
      <c r="Y45" s="39"/>
      <c r="Z45" s="39"/>
    </row>
    <row r="46">
      <c r="A46" s="48"/>
      <c r="B46" s="39"/>
      <c r="C46" s="40"/>
      <c r="D46" s="39"/>
      <c r="E46" s="39"/>
      <c r="F46" s="39"/>
      <c r="G46" s="39"/>
      <c r="H46" s="39"/>
      <c r="I46" s="39"/>
      <c r="J46" s="39"/>
      <c r="K46" s="39"/>
      <c r="L46" s="39"/>
      <c r="M46" s="39"/>
      <c r="N46" s="39"/>
      <c r="O46" s="39"/>
      <c r="P46" s="39"/>
      <c r="Q46" s="39"/>
      <c r="R46" s="39"/>
      <c r="S46" s="39"/>
      <c r="T46" s="39"/>
      <c r="U46" s="39"/>
      <c r="V46" s="39"/>
      <c r="W46" s="39"/>
      <c r="X46" s="39"/>
      <c r="Y46" s="39"/>
      <c r="Z46" s="39"/>
    </row>
    <row r="47">
      <c r="A47" s="47" t="s">
        <v>174</v>
      </c>
      <c r="B47" s="27"/>
      <c r="C47" s="51" t="str">
        <f t="array" ref="C47">INDEX(Practice!$A$84:$T$103, 4, 5)</f>
        <v>South</v>
      </c>
      <c r="D47" s="52" t="s">
        <v>175</v>
      </c>
      <c r="E47" s="27"/>
      <c r="F47" s="27"/>
      <c r="G47" s="39"/>
      <c r="H47" s="39"/>
      <c r="I47" s="39"/>
      <c r="J47" s="39"/>
      <c r="K47" s="39"/>
      <c r="L47" s="39"/>
      <c r="M47" s="39"/>
      <c r="N47" s="39"/>
      <c r="O47" s="39"/>
      <c r="P47" s="39"/>
      <c r="Q47" s="39"/>
      <c r="R47" s="39"/>
      <c r="S47" s="39"/>
      <c r="T47" s="39"/>
      <c r="U47" s="39"/>
      <c r="V47" s="39"/>
      <c r="W47" s="39"/>
      <c r="X47" s="39"/>
      <c r="Y47" s="39"/>
      <c r="Z47" s="39"/>
    </row>
    <row r="48">
      <c r="A48" s="47" t="s">
        <v>176</v>
      </c>
      <c r="B48" s="27"/>
      <c r="C48" s="51">
        <f>MATCH("South", Practice!$E$84:$E$103, 0)</f>
        <v>4</v>
      </c>
      <c r="D48" s="52" t="s">
        <v>177</v>
      </c>
      <c r="E48" s="27"/>
      <c r="F48" s="27"/>
      <c r="G48" s="39"/>
      <c r="H48" s="39"/>
      <c r="I48" s="39"/>
      <c r="J48" s="39"/>
      <c r="K48" s="39"/>
      <c r="L48" s="39"/>
      <c r="M48" s="39"/>
      <c r="N48" s="39"/>
      <c r="O48" s="39"/>
      <c r="P48" s="39"/>
      <c r="Q48" s="39"/>
      <c r="R48" s="39"/>
      <c r="S48" s="39"/>
      <c r="T48" s="39"/>
      <c r="U48" s="39"/>
      <c r="V48" s="39"/>
      <c r="W48" s="39"/>
      <c r="X48" s="39"/>
      <c r="Y48" s="39"/>
      <c r="Z48" s="39"/>
    </row>
    <row r="49">
      <c r="A49" s="48"/>
      <c r="B49" s="39"/>
      <c r="C49" s="40"/>
      <c r="D49" s="39"/>
      <c r="E49" s="39"/>
      <c r="F49" s="39"/>
      <c r="G49" s="39"/>
      <c r="H49" s="39"/>
      <c r="I49" s="39"/>
      <c r="J49" s="39"/>
      <c r="K49" s="39"/>
      <c r="L49" s="39"/>
      <c r="M49" s="39"/>
      <c r="N49" s="39"/>
      <c r="O49" s="39"/>
      <c r="P49" s="39"/>
      <c r="Q49" s="39"/>
      <c r="R49" s="39"/>
      <c r="S49" s="39"/>
      <c r="T49" s="39"/>
      <c r="U49" s="39"/>
      <c r="V49" s="39"/>
      <c r="W49" s="39"/>
      <c r="X49" s="39"/>
      <c r="Y49" s="39"/>
      <c r="Z49" s="39"/>
    </row>
    <row r="50">
      <c r="A50" s="53" t="s">
        <v>178</v>
      </c>
      <c r="B50" s="54"/>
      <c r="C50" s="54"/>
      <c r="D50" s="44" t="s">
        <v>179</v>
      </c>
      <c r="E50" s="43"/>
      <c r="F50" s="43"/>
      <c r="G50" s="43"/>
      <c r="H50" s="43"/>
      <c r="I50" s="43"/>
      <c r="J50" s="43"/>
      <c r="K50" s="43"/>
      <c r="L50" s="43"/>
      <c r="M50" s="43"/>
      <c r="N50" s="43"/>
      <c r="O50" s="43"/>
      <c r="P50" s="43"/>
      <c r="Q50" s="43"/>
      <c r="R50" s="43"/>
      <c r="S50" s="43"/>
      <c r="T50" s="43"/>
      <c r="U50" s="43"/>
      <c r="V50" s="43"/>
      <c r="W50" s="43"/>
      <c r="X50" s="43"/>
      <c r="Y50" s="43"/>
      <c r="Z50" s="43"/>
    </row>
    <row r="51">
      <c r="A51" s="55"/>
      <c r="B51" s="18"/>
      <c r="C51" s="56">
        <f t="array" ref="C51:F53">SEQUENCE(3,4,1,1)</f>
        <v>1</v>
      </c>
      <c r="D51" s="39">
        <v>2.0</v>
      </c>
      <c r="E51" s="39">
        <v>3.0</v>
      </c>
      <c r="F51" s="39">
        <v>4.0</v>
      </c>
      <c r="G51" s="39"/>
      <c r="H51" s="39"/>
      <c r="I51" s="39"/>
      <c r="J51" s="39"/>
      <c r="K51" s="39"/>
      <c r="L51" s="39"/>
      <c r="M51" s="39"/>
      <c r="N51" s="39"/>
      <c r="O51" s="39"/>
      <c r="P51" s="39"/>
      <c r="Q51" s="39"/>
      <c r="R51" s="39"/>
      <c r="S51" s="39"/>
      <c r="T51" s="39"/>
      <c r="U51" s="39"/>
      <c r="V51" s="39"/>
      <c r="W51" s="39"/>
      <c r="X51" s="39"/>
      <c r="Y51" s="39"/>
      <c r="Z51" s="39"/>
    </row>
    <row r="52">
      <c r="A52" s="55"/>
      <c r="B52" s="18"/>
      <c r="C52" s="56">
        <v>5.0</v>
      </c>
      <c r="D52" s="39">
        <v>6.0</v>
      </c>
      <c r="E52" s="39">
        <v>7.0</v>
      </c>
      <c r="F52" s="39">
        <v>8.0</v>
      </c>
      <c r="G52" s="39"/>
      <c r="H52" s="39"/>
      <c r="I52" s="39"/>
      <c r="J52" s="39"/>
      <c r="K52" s="39"/>
      <c r="L52" s="39"/>
      <c r="M52" s="39"/>
      <c r="N52" s="39"/>
      <c r="O52" s="39"/>
      <c r="P52" s="39"/>
      <c r="Q52" s="39"/>
      <c r="R52" s="39"/>
      <c r="S52" s="39"/>
      <c r="T52" s="39"/>
      <c r="U52" s="39"/>
      <c r="V52" s="39"/>
      <c r="W52" s="39"/>
      <c r="X52" s="39"/>
      <c r="Y52" s="39"/>
      <c r="Z52" s="39"/>
    </row>
    <row r="53">
      <c r="A53" s="55"/>
      <c r="B53" s="18"/>
      <c r="C53" s="56">
        <v>9.0</v>
      </c>
      <c r="D53" s="39">
        <v>10.0</v>
      </c>
      <c r="E53" s="39">
        <v>11.0</v>
      </c>
      <c r="F53" s="39">
        <v>12.0</v>
      </c>
      <c r="G53" s="39"/>
      <c r="H53" s="39"/>
      <c r="I53" s="39"/>
      <c r="J53" s="39"/>
      <c r="K53" s="39"/>
      <c r="L53" s="39"/>
      <c r="M53" s="39"/>
      <c r="N53" s="39"/>
      <c r="O53" s="39"/>
      <c r="P53" s="39"/>
      <c r="Q53" s="39"/>
      <c r="R53" s="39"/>
      <c r="S53" s="39"/>
      <c r="T53" s="39"/>
      <c r="U53" s="39"/>
      <c r="V53" s="39"/>
      <c r="W53" s="39"/>
      <c r="X53" s="39"/>
      <c r="Y53" s="39"/>
      <c r="Z53" s="39"/>
    </row>
    <row r="54">
      <c r="A54" s="55"/>
      <c r="B54" s="18"/>
      <c r="C54" s="56"/>
      <c r="D54" s="39"/>
      <c r="E54" s="39"/>
      <c r="F54" s="39"/>
      <c r="G54" s="39"/>
      <c r="H54" s="39"/>
      <c r="I54" s="39"/>
      <c r="J54" s="39"/>
      <c r="K54" s="39"/>
      <c r="L54" s="39"/>
      <c r="M54" s="39"/>
      <c r="N54" s="39"/>
      <c r="O54" s="39"/>
      <c r="P54" s="39"/>
      <c r="Q54" s="39"/>
      <c r="R54" s="39"/>
      <c r="S54" s="39"/>
      <c r="T54" s="39"/>
      <c r="U54" s="39"/>
      <c r="V54" s="39"/>
      <c r="W54" s="39"/>
      <c r="X54" s="39"/>
      <c r="Y54" s="39"/>
      <c r="Z54" s="39"/>
    </row>
    <row r="55">
      <c r="A55" s="53" t="s">
        <v>180</v>
      </c>
      <c r="B55" s="54"/>
      <c r="C55" s="54"/>
      <c r="D55" s="44" t="s">
        <v>181</v>
      </c>
      <c r="E55" s="43"/>
      <c r="F55" s="43"/>
      <c r="G55" s="43"/>
      <c r="H55" s="43"/>
      <c r="I55" s="43"/>
      <c r="J55" s="43"/>
      <c r="K55" s="43"/>
      <c r="L55" s="43"/>
      <c r="M55" s="43"/>
      <c r="N55" s="43"/>
      <c r="O55" s="43"/>
      <c r="P55" s="43"/>
      <c r="Q55" s="43"/>
      <c r="R55" s="43"/>
      <c r="S55" s="43"/>
      <c r="T55" s="43"/>
      <c r="U55" s="43"/>
      <c r="V55" s="43"/>
      <c r="W55" s="43"/>
      <c r="X55" s="43"/>
      <c r="Y55" s="43"/>
      <c r="Z55" s="43"/>
    </row>
    <row r="56">
      <c r="A56" s="55"/>
      <c r="B56" s="18"/>
      <c r="C56" s="57" t="str">
        <f>IFERROR(__xludf.DUMMYFUNCTION("UNIQUE(Practice!G85:H93, false, false)"),"Leaves")</f>
        <v>Leaves</v>
      </c>
      <c r="D56" s="41" t="str">
        <f>IFERROR(__xludf.DUMMYFUNCTION("""COMPUTED_VALUE"""),"Herbal Tea")</f>
        <v>Herbal Tea</v>
      </c>
      <c r="E56" s="39"/>
      <c r="F56" s="39"/>
      <c r="G56" s="39"/>
      <c r="H56" s="39"/>
      <c r="I56" s="39"/>
      <c r="J56" s="39"/>
      <c r="K56" s="39"/>
      <c r="L56" s="39"/>
      <c r="M56" s="39"/>
      <c r="N56" s="39"/>
      <c r="O56" s="39"/>
      <c r="P56" s="39"/>
      <c r="Q56" s="39"/>
      <c r="R56" s="39"/>
      <c r="S56" s="39"/>
      <c r="T56" s="39"/>
      <c r="U56" s="39"/>
      <c r="V56" s="39"/>
      <c r="W56" s="39"/>
      <c r="X56" s="39"/>
      <c r="Y56" s="39"/>
      <c r="Z56" s="39"/>
    </row>
    <row r="57">
      <c r="A57" s="55"/>
      <c r="B57" s="18"/>
      <c r="C57" s="56" t="str">
        <f>IFERROR(__xludf.DUMMYFUNCTION("""COMPUTED_VALUE"""),"Leaves")</f>
        <v>Leaves</v>
      </c>
      <c r="D57" s="41" t="str">
        <f>IFERROR(__xludf.DUMMYFUNCTION("""COMPUTED_VALUE"""),"Tea")</f>
        <v>Tea</v>
      </c>
      <c r="E57" s="39"/>
      <c r="F57" s="39"/>
      <c r="G57" s="39"/>
      <c r="H57" s="39"/>
      <c r="I57" s="39"/>
      <c r="J57" s="39"/>
      <c r="K57" s="39"/>
      <c r="L57" s="39"/>
      <c r="M57" s="39"/>
      <c r="N57" s="39"/>
      <c r="O57" s="39"/>
      <c r="P57" s="39"/>
      <c r="Q57" s="39"/>
      <c r="R57" s="39"/>
      <c r="S57" s="39"/>
      <c r="T57" s="39"/>
      <c r="U57" s="39"/>
      <c r="V57" s="39"/>
      <c r="W57" s="39"/>
      <c r="X57" s="39"/>
      <c r="Y57" s="39"/>
      <c r="Z57" s="39"/>
    </row>
    <row r="58">
      <c r="A58" s="55"/>
      <c r="B58" s="18"/>
      <c r="C58" s="56" t="str">
        <f>IFERROR(__xludf.DUMMYFUNCTION("""COMPUTED_VALUE"""),"Beans")</f>
        <v>Beans</v>
      </c>
      <c r="D58" s="41" t="str">
        <f>IFERROR(__xludf.DUMMYFUNCTION("""COMPUTED_VALUE"""),"Espresso")</f>
        <v>Espresso</v>
      </c>
      <c r="E58" s="39"/>
      <c r="F58" s="39"/>
      <c r="G58" s="39"/>
      <c r="H58" s="39"/>
      <c r="I58" s="39"/>
      <c r="J58" s="39"/>
      <c r="K58" s="39"/>
      <c r="L58" s="39"/>
      <c r="M58" s="39"/>
      <c r="N58" s="39"/>
      <c r="O58" s="39"/>
      <c r="P58" s="39"/>
      <c r="Q58" s="39"/>
      <c r="R58" s="39"/>
      <c r="S58" s="39"/>
      <c r="T58" s="39"/>
      <c r="U58" s="39"/>
      <c r="V58" s="39"/>
      <c r="W58" s="39"/>
      <c r="X58" s="39"/>
      <c r="Y58" s="39"/>
      <c r="Z58" s="39"/>
    </row>
    <row r="59">
      <c r="A59" s="55"/>
      <c r="B59" s="18"/>
      <c r="C59" s="56" t="str">
        <f>IFERROR(__xludf.DUMMYFUNCTION("""COMPUTED_VALUE"""),"Beans")</f>
        <v>Beans</v>
      </c>
      <c r="D59" s="41" t="str">
        <f>IFERROR(__xludf.DUMMYFUNCTION("""COMPUTED_VALUE"""),"Coffee")</f>
        <v>Coffee</v>
      </c>
      <c r="E59" s="39"/>
      <c r="F59" s="39"/>
      <c r="G59" s="39"/>
      <c r="H59" s="39"/>
      <c r="I59" s="39"/>
      <c r="J59" s="39"/>
      <c r="K59" s="39"/>
      <c r="L59" s="39"/>
      <c r="M59" s="39"/>
      <c r="N59" s="39"/>
      <c r="O59" s="39"/>
      <c r="P59" s="39"/>
      <c r="Q59" s="39"/>
      <c r="R59" s="39"/>
      <c r="S59" s="39"/>
      <c r="T59" s="39"/>
      <c r="U59" s="39"/>
      <c r="V59" s="39"/>
      <c r="W59" s="39"/>
      <c r="X59" s="39"/>
      <c r="Y59" s="39"/>
      <c r="Z59" s="39"/>
    </row>
    <row r="60">
      <c r="A60" s="55"/>
      <c r="B60" s="18"/>
      <c r="C60" s="56"/>
      <c r="D60" s="41"/>
      <c r="E60" s="39"/>
      <c r="F60" s="39"/>
      <c r="G60" s="39"/>
      <c r="H60" s="39"/>
      <c r="I60" s="39"/>
      <c r="J60" s="39"/>
      <c r="K60" s="39"/>
      <c r="L60" s="39"/>
      <c r="M60" s="39"/>
      <c r="N60" s="39"/>
      <c r="O60" s="39"/>
      <c r="P60" s="39"/>
      <c r="Q60" s="39"/>
      <c r="R60" s="39"/>
      <c r="S60" s="39"/>
      <c r="T60" s="39"/>
      <c r="U60" s="39"/>
      <c r="V60" s="39"/>
      <c r="W60" s="39"/>
      <c r="X60" s="39"/>
      <c r="Y60" s="39"/>
      <c r="Z60" s="39"/>
    </row>
    <row r="61">
      <c r="A61" s="53" t="s">
        <v>182</v>
      </c>
      <c r="B61" s="54"/>
      <c r="C61" s="58"/>
      <c r="D61" s="44" t="s">
        <v>183</v>
      </c>
      <c r="E61" s="43"/>
      <c r="F61" s="43"/>
      <c r="G61" s="43"/>
      <c r="H61" s="43"/>
      <c r="I61" s="43"/>
      <c r="J61" s="43"/>
      <c r="K61" s="43"/>
      <c r="L61" s="43"/>
      <c r="M61" s="43"/>
      <c r="N61" s="43"/>
      <c r="O61" s="43"/>
      <c r="P61" s="43"/>
      <c r="Q61" s="43"/>
      <c r="R61" s="43"/>
      <c r="S61" s="43"/>
      <c r="T61" s="43"/>
      <c r="U61" s="43"/>
      <c r="V61" s="43"/>
      <c r="W61" s="43"/>
      <c r="X61" s="43"/>
      <c r="Y61" s="43"/>
      <c r="Z61" s="43"/>
    </row>
    <row r="62">
      <c r="A62" s="55"/>
      <c r="B62" s="18"/>
      <c r="C62" s="59">
        <f t="array" ref="C62:H80">SORT(Practice!A85:F103,4,false, 5, false)</f>
        <v>775</v>
      </c>
      <c r="D62" s="39">
        <v>31.0</v>
      </c>
      <c r="E62" s="46">
        <v>41334.0</v>
      </c>
      <c r="F62" s="39" t="s">
        <v>106</v>
      </c>
      <c r="G62" s="39" t="s">
        <v>184</v>
      </c>
      <c r="H62" s="39">
        <v>9.0</v>
      </c>
      <c r="I62" s="39"/>
      <c r="J62" s="39"/>
      <c r="K62" s="39"/>
      <c r="L62" s="39"/>
      <c r="M62" s="39"/>
      <c r="N62" s="39"/>
      <c r="O62" s="39"/>
      <c r="P62" s="39"/>
      <c r="Q62" s="39"/>
      <c r="R62" s="39"/>
      <c r="S62" s="39"/>
      <c r="T62" s="39"/>
      <c r="U62" s="39"/>
      <c r="V62" s="39"/>
      <c r="W62" s="39"/>
      <c r="X62" s="39"/>
      <c r="Y62" s="39"/>
      <c r="Z62" s="39"/>
    </row>
    <row r="63">
      <c r="A63" s="48"/>
      <c r="B63" s="39"/>
      <c r="C63" s="40">
        <v>435.0</v>
      </c>
      <c r="D63" s="39">
        <v>40.0</v>
      </c>
      <c r="E63" s="46">
        <v>41426.0</v>
      </c>
      <c r="F63" s="39" t="s">
        <v>106</v>
      </c>
      <c r="G63" s="39" t="s">
        <v>184</v>
      </c>
      <c r="H63" s="39">
        <v>11.0</v>
      </c>
      <c r="I63" s="39"/>
      <c r="J63" s="39"/>
      <c r="K63" s="39"/>
      <c r="L63" s="39"/>
      <c r="M63" s="39"/>
      <c r="N63" s="39"/>
      <c r="O63" s="39"/>
      <c r="P63" s="39"/>
      <c r="Q63" s="39"/>
      <c r="R63" s="39"/>
      <c r="S63" s="39"/>
      <c r="T63" s="39"/>
      <c r="U63" s="39"/>
      <c r="V63" s="39"/>
      <c r="W63" s="39"/>
      <c r="X63" s="39"/>
      <c r="Y63" s="39"/>
      <c r="Z63" s="39"/>
    </row>
    <row r="64">
      <c r="A64" s="48"/>
      <c r="B64" s="39"/>
      <c r="C64" s="40">
        <v>775.0</v>
      </c>
      <c r="D64" s="39">
        <v>34.0</v>
      </c>
      <c r="E64" s="46">
        <v>41548.0</v>
      </c>
      <c r="F64" s="39" t="s">
        <v>106</v>
      </c>
      <c r="G64" s="39" t="s">
        <v>184</v>
      </c>
      <c r="H64" s="39">
        <v>12.0</v>
      </c>
      <c r="I64" s="39"/>
      <c r="J64" s="39"/>
      <c r="K64" s="39"/>
      <c r="L64" s="39"/>
      <c r="M64" s="39"/>
      <c r="N64" s="39"/>
      <c r="O64" s="39"/>
      <c r="P64" s="39"/>
      <c r="Q64" s="39"/>
      <c r="R64" s="39"/>
      <c r="S64" s="39"/>
      <c r="T64" s="39"/>
      <c r="U64" s="39"/>
      <c r="V64" s="39"/>
      <c r="W64" s="39"/>
      <c r="X64" s="39"/>
      <c r="Y64" s="39"/>
      <c r="Z64" s="39"/>
    </row>
    <row r="65">
      <c r="A65" s="48"/>
      <c r="B65" s="39"/>
      <c r="C65" s="40">
        <v>503.0</v>
      </c>
      <c r="D65" s="39">
        <v>54.0</v>
      </c>
      <c r="E65" s="46">
        <v>41548.0</v>
      </c>
      <c r="F65" s="39" t="s">
        <v>106</v>
      </c>
      <c r="G65" s="39" t="s">
        <v>184</v>
      </c>
      <c r="H65" s="39">
        <v>20.0</v>
      </c>
      <c r="I65" s="39"/>
      <c r="J65" s="39"/>
      <c r="K65" s="39"/>
      <c r="L65" s="39"/>
      <c r="M65" s="39"/>
      <c r="N65" s="39"/>
      <c r="O65" s="39"/>
      <c r="P65" s="39"/>
      <c r="Q65" s="39"/>
      <c r="R65" s="39"/>
      <c r="S65" s="39"/>
      <c r="T65" s="39"/>
      <c r="U65" s="39"/>
      <c r="V65" s="39"/>
      <c r="W65" s="39"/>
      <c r="X65" s="39"/>
      <c r="Y65" s="39"/>
      <c r="Z65" s="39"/>
    </row>
    <row r="66">
      <c r="A66" s="48"/>
      <c r="B66" s="39"/>
      <c r="C66" s="40">
        <v>801.0</v>
      </c>
      <c r="D66" s="39">
        <v>49.0</v>
      </c>
      <c r="E66" s="46">
        <v>41548.0</v>
      </c>
      <c r="F66" s="39" t="s">
        <v>106</v>
      </c>
      <c r="G66" s="39" t="s">
        <v>184</v>
      </c>
      <c r="H66" s="39">
        <v>15.0</v>
      </c>
      <c r="I66" s="39"/>
      <c r="J66" s="39"/>
      <c r="K66" s="39"/>
      <c r="L66" s="39"/>
      <c r="M66" s="39"/>
      <c r="N66" s="39"/>
      <c r="O66" s="39"/>
      <c r="P66" s="39"/>
      <c r="Q66" s="39"/>
      <c r="R66" s="39"/>
      <c r="S66" s="39"/>
      <c r="T66" s="39"/>
      <c r="U66" s="39"/>
      <c r="V66" s="39"/>
      <c r="W66" s="39"/>
      <c r="X66" s="39"/>
      <c r="Y66" s="39"/>
      <c r="Z66" s="39"/>
    </row>
    <row r="67">
      <c r="A67" s="48"/>
      <c r="B67" s="39"/>
      <c r="C67" s="40">
        <v>918.0</v>
      </c>
      <c r="D67" s="39">
        <v>27.0</v>
      </c>
      <c r="E67" s="46">
        <v>41334.0</v>
      </c>
      <c r="F67" s="39" t="s">
        <v>106</v>
      </c>
      <c r="G67" s="39" t="s">
        <v>185</v>
      </c>
      <c r="H67" s="39">
        <v>7.0</v>
      </c>
      <c r="I67" s="39"/>
      <c r="J67" s="39"/>
      <c r="K67" s="39"/>
      <c r="L67" s="39"/>
      <c r="M67" s="39"/>
      <c r="N67" s="39"/>
      <c r="O67" s="39"/>
      <c r="P67" s="39"/>
      <c r="Q67" s="39"/>
      <c r="R67" s="39"/>
      <c r="S67" s="39"/>
      <c r="T67" s="39"/>
      <c r="U67" s="39"/>
      <c r="V67" s="39"/>
      <c r="W67" s="39"/>
      <c r="X67" s="39"/>
      <c r="Y67" s="39"/>
      <c r="Z67" s="39"/>
    </row>
    <row r="68">
      <c r="A68" s="48"/>
      <c r="B68" s="39"/>
      <c r="C68" s="40">
        <v>318.0</v>
      </c>
      <c r="D68" s="39">
        <v>60.0</v>
      </c>
      <c r="E68" s="46">
        <v>41487.0</v>
      </c>
      <c r="F68" s="39" t="s">
        <v>106</v>
      </c>
      <c r="G68" s="39" t="s">
        <v>185</v>
      </c>
      <c r="H68" s="39">
        <v>54.0</v>
      </c>
      <c r="I68" s="39"/>
      <c r="J68" s="39"/>
      <c r="K68" s="39"/>
      <c r="L68" s="39"/>
      <c r="M68" s="39"/>
      <c r="N68" s="39"/>
      <c r="O68" s="39"/>
      <c r="P68" s="39"/>
      <c r="Q68" s="39"/>
      <c r="R68" s="39"/>
      <c r="S68" s="39"/>
      <c r="T68" s="39"/>
      <c r="U68" s="39"/>
      <c r="V68" s="39"/>
      <c r="W68" s="39"/>
      <c r="X68" s="39"/>
      <c r="Y68" s="39"/>
      <c r="Z68" s="39"/>
    </row>
    <row r="69">
      <c r="A69" s="48"/>
      <c r="B69" s="39"/>
      <c r="C69" s="40">
        <v>860.0</v>
      </c>
      <c r="D69" s="39">
        <v>47.0</v>
      </c>
      <c r="E69" s="46">
        <v>40969.0</v>
      </c>
      <c r="F69" s="39" t="s">
        <v>106</v>
      </c>
      <c r="G69" s="39" t="s">
        <v>186</v>
      </c>
      <c r="H69" s="39">
        <v>15.0</v>
      </c>
      <c r="I69" s="39"/>
      <c r="J69" s="39"/>
      <c r="K69" s="39"/>
      <c r="L69" s="39"/>
      <c r="M69" s="39"/>
      <c r="N69" s="39"/>
      <c r="O69" s="39"/>
      <c r="P69" s="39"/>
      <c r="Q69" s="39"/>
      <c r="R69" s="39"/>
      <c r="S69" s="39"/>
      <c r="T69" s="39"/>
      <c r="U69" s="39"/>
      <c r="V69" s="39"/>
      <c r="W69" s="39"/>
      <c r="X69" s="39"/>
      <c r="Y69" s="39"/>
      <c r="Z69" s="39"/>
    </row>
    <row r="70">
      <c r="A70" s="48"/>
      <c r="B70" s="39"/>
      <c r="C70" s="40">
        <v>603.0</v>
      </c>
      <c r="D70" s="39">
        <v>49.0</v>
      </c>
      <c r="E70" s="46">
        <v>41456.0</v>
      </c>
      <c r="F70" s="39" t="s">
        <v>106</v>
      </c>
      <c r="G70" s="39" t="s">
        <v>186</v>
      </c>
      <c r="H70" s="39">
        <v>15.0</v>
      </c>
      <c r="I70" s="39"/>
      <c r="J70" s="39"/>
      <c r="K70" s="39"/>
      <c r="L70" s="39"/>
      <c r="M70" s="39"/>
      <c r="N70" s="39"/>
      <c r="O70" s="39"/>
      <c r="P70" s="39"/>
      <c r="Q70" s="39"/>
      <c r="R70" s="39"/>
      <c r="S70" s="39"/>
      <c r="T70" s="39"/>
      <c r="U70" s="39"/>
      <c r="V70" s="39"/>
      <c r="W70" s="39"/>
      <c r="X70" s="39"/>
      <c r="Y70" s="39"/>
      <c r="Z70" s="39"/>
    </row>
    <row r="71">
      <c r="A71" s="48"/>
      <c r="B71" s="39"/>
      <c r="C71" s="40">
        <v>603.0</v>
      </c>
      <c r="D71" s="39">
        <v>45.0</v>
      </c>
      <c r="E71" s="46">
        <v>41456.0</v>
      </c>
      <c r="F71" s="39" t="s">
        <v>106</v>
      </c>
      <c r="G71" s="39" t="s">
        <v>186</v>
      </c>
      <c r="H71" s="39">
        <v>14.0</v>
      </c>
      <c r="I71" s="39"/>
      <c r="J71" s="39"/>
      <c r="K71" s="39"/>
      <c r="L71" s="39"/>
      <c r="M71" s="39"/>
      <c r="N71" s="39"/>
      <c r="O71" s="39"/>
      <c r="P71" s="39"/>
      <c r="Q71" s="39"/>
      <c r="R71" s="39"/>
      <c r="S71" s="39"/>
      <c r="T71" s="39"/>
      <c r="U71" s="39"/>
      <c r="V71" s="39"/>
      <c r="W71" s="39"/>
      <c r="X71" s="39"/>
      <c r="Y71" s="39"/>
      <c r="Z71" s="39"/>
    </row>
    <row r="72">
      <c r="A72" s="48"/>
      <c r="B72" s="39"/>
      <c r="C72" s="40">
        <v>603.0</v>
      </c>
      <c r="D72" s="39">
        <v>45.0</v>
      </c>
      <c r="E72" s="46">
        <v>41487.0</v>
      </c>
      <c r="F72" s="39" t="s">
        <v>106</v>
      </c>
      <c r="G72" s="39" t="s">
        <v>186</v>
      </c>
      <c r="H72" s="39">
        <v>41.0</v>
      </c>
      <c r="I72" s="39"/>
      <c r="J72" s="39"/>
      <c r="K72" s="39"/>
      <c r="L72" s="39"/>
      <c r="M72" s="39"/>
      <c r="N72" s="39"/>
      <c r="O72" s="39"/>
      <c r="P72" s="39"/>
      <c r="Q72" s="39"/>
      <c r="R72" s="39"/>
      <c r="S72" s="39"/>
      <c r="T72" s="39"/>
      <c r="U72" s="39"/>
      <c r="V72" s="39"/>
      <c r="W72" s="39"/>
      <c r="X72" s="39"/>
      <c r="Y72" s="39"/>
      <c r="Z72" s="39"/>
    </row>
    <row r="73">
      <c r="A73" s="48"/>
      <c r="B73" s="39"/>
      <c r="C73" s="40">
        <v>712.0</v>
      </c>
      <c r="D73" s="39">
        <v>0.0</v>
      </c>
      <c r="E73" s="46">
        <v>40969.0</v>
      </c>
      <c r="F73" s="39" t="s">
        <v>106</v>
      </c>
      <c r="G73" s="39" t="s">
        <v>107</v>
      </c>
      <c r="H73" s="39">
        <v>0.0</v>
      </c>
      <c r="I73" s="39"/>
      <c r="J73" s="39"/>
      <c r="K73" s="39"/>
      <c r="L73" s="39"/>
      <c r="M73" s="39"/>
      <c r="N73" s="39"/>
      <c r="O73" s="39"/>
      <c r="P73" s="39"/>
      <c r="Q73" s="39"/>
      <c r="R73" s="39"/>
      <c r="S73" s="39"/>
      <c r="T73" s="39"/>
      <c r="U73" s="39"/>
      <c r="V73" s="39"/>
      <c r="W73" s="39"/>
      <c r="X73" s="39"/>
      <c r="Y73" s="39"/>
      <c r="Z73" s="39"/>
    </row>
    <row r="74">
      <c r="A74" s="48"/>
      <c r="B74" s="39"/>
      <c r="C74" s="40">
        <v>573.0</v>
      </c>
      <c r="D74" s="39">
        <v>45.0</v>
      </c>
      <c r="E74" s="46">
        <v>41548.0</v>
      </c>
      <c r="F74" s="39" t="s">
        <v>106</v>
      </c>
      <c r="G74" s="39" t="s">
        <v>107</v>
      </c>
      <c r="H74" s="39">
        <v>41.0</v>
      </c>
      <c r="I74" s="39"/>
      <c r="J74" s="39"/>
      <c r="K74" s="39"/>
      <c r="L74" s="39"/>
      <c r="M74" s="39"/>
      <c r="N74" s="39"/>
      <c r="O74" s="39"/>
      <c r="P74" s="39"/>
      <c r="Q74" s="39"/>
      <c r="R74" s="39"/>
      <c r="S74" s="39"/>
      <c r="T74" s="39"/>
      <c r="U74" s="39"/>
      <c r="V74" s="39"/>
      <c r="W74" s="39"/>
      <c r="X74" s="39"/>
      <c r="Y74" s="39"/>
      <c r="Z74" s="39"/>
    </row>
    <row r="75">
      <c r="A75" s="48"/>
      <c r="B75" s="39"/>
      <c r="C75" s="40">
        <v>262.0</v>
      </c>
      <c r="D75" s="39">
        <v>48.0</v>
      </c>
      <c r="E75" s="46">
        <v>41548.0</v>
      </c>
      <c r="F75" s="39" t="s">
        <v>106</v>
      </c>
      <c r="G75" s="39" t="s">
        <v>107</v>
      </c>
      <c r="H75" s="39">
        <v>13.0</v>
      </c>
      <c r="I75" s="39"/>
      <c r="J75" s="39"/>
      <c r="K75" s="39"/>
      <c r="L75" s="39"/>
      <c r="M75" s="39"/>
      <c r="N75" s="39"/>
      <c r="O75" s="39"/>
      <c r="P75" s="39"/>
      <c r="Q75" s="39"/>
      <c r="R75" s="39"/>
      <c r="S75" s="39"/>
      <c r="T75" s="39"/>
      <c r="U75" s="39"/>
      <c r="V75" s="39"/>
      <c r="W75" s="39"/>
      <c r="X75" s="39"/>
      <c r="Y75" s="39"/>
      <c r="Z75" s="39"/>
    </row>
    <row r="76">
      <c r="A76" s="48"/>
      <c r="B76" s="39"/>
      <c r="C76" s="40">
        <v>562.0</v>
      </c>
      <c r="D76" s="39">
        <v>72.0</v>
      </c>
      <c r="E76" s="46">
        <v>40940.0</v>
      </c>
      <c r="F76" s="39" t="s">
        <v>187</v>
      </c>
      <c r="G76" s="39" t="s">
        <v>184</v>
      </c>
      <c r="H76" s="39">
        <v>23.0</v>
      </c>
      <c r="I76" s="39"/>
      <c r="J76" s="39"/>
      <c r="K76" s="39"/>
      <c r="L76" s="39"/>
      <c r="M76" s="39"/>
      <c r="N76" s="39"/>
      <c r="O76" s="39"/>
      <c r="P76" s="39"/>
      <c r="Q76" s="39"/>
      <c r="R76" s="39"/>
      <c r="S76" s="39"/>
      <c r="T76" s="39"/>
      <c r="U76" s="39"/>
      <c r="V76" s="39"/>
      <c r="W76" s="39"/>
      <c r="X76" s="39"/>
      <c r="Y76" s="39"/>
      <c r="Z76" s="39"/>
    </row>
    <row r="77">
      <c r="A77" s="48"/>
      <c r="B77" s="39"/>
      <c r="C77" s="40">
        <v>409.0</v>
      </c>
      <c r="D77" s="39">
        <v>43.0</v>
      </c>
      <c r="E77" s="46">
        <v>40940.0</v>
      </c>
      <c r="F77" s="39" t="s">
        <v>187</v>
      </c>
      <c r="G77" s="39" t="s">
        <v>185</v>
      </c>
      <c r="H77" s="39">
        <v>13.0</v>
      </c>
      <c r="I77" s="39"/>
      <c r="J77" s="39"/>
      <c r="K77" s="39"/>
      <c r="L77" s="39"/>
      <c r="M77" s="39"/>
      <c r="N77" s="39"/>
      <c r="O77" s="39"/>
      <c r="P77" s="39"/>
      <c r="Q77" s="39"/>
      <c r="R77" s="39"/>
      <c r="S77" s="39"/>
      <c r="T77" s="39"/>
      <c r="U77" s="39"/>
      <c r="V77" s="39"/>
      <c r="W77" s="39"/>
      <c r="X77" s="39"/>
      <c r="Y77" s="39"/>
      <c r="Z77" s="39"/>
    </row>
    <row r="78">
      <c r="A78" s="48"/>
      <c r="B78" s="39"/>
      <c r="C78" s="40">
        <v>850.0</v>
      </c>
      <c r="D78" s="39">
        <v>38.0</v>
      </c>
      <c r="E78" s="46">
        <v>40940.0</v>
      </c>
      <c r="F78" s="39" t="s">
        <v>187</v>
      </c>
      <c r="G78" s="39" t="s">
        <v>186</v>
      </c>
      <c r="H78" s="39">
        <v>10.0</v>
      </c>
      <c r="I78" s="39"/>
      <c r="J78" s="39"/>
      <c r="K78" s="39"/>
      <c r="L78" s="39"/>
      <c r="M78" s="39"/>
      <c r="N78" s="39"/>
      <c r="O78" s="39"/>
      <c r="P78" s="39"/>
      <c r="Q78" s="39"/>
      <c r="R78" s="39"/>
      <c r="S78" s="39"/>
      <c r="T78" s="39"/>
      <c r="U78" s="39"/>
      <c r="V78" s="39"/>
      <c r="W78" s="39"/>
      <c r="X78" s="39"/>
      <c r="Y78" s="39"/>
      <c r="Z78" s="39"/>
    </row>
    <row r="79">
      <c r="A79" s="48"/>
      <c r="B79" s="39"/>
      <c r="C79" s="40">
        <v>303.0</v>
      </c>
      <c r="D79" s="39">
        <v>51.0</v>
      </c>
      <c r="E79" s="46">
        <v>40909.0</v>
      </c>
      <c r="F79" s="39" t="s">
        <v>187</v>
      </c>
      <c r="G79" s="39" t="s">
        <v>107</v>
      </c>
      <c r="H79" s="39">
        <v>46.0</v>
      </c>
      <c r="I79" s="39"/>
      <c r="J79" s="39"/>
      <c r="K79" s="39"/>
      <c r="L79" s="39"/>
      <c r="M79" s="39"/>
      <c r="N79" s="39"/>
      <c r="O79" s="39"/>
      <c r="P79" s="39"/>
      <c r="Q79" s="39"/>
      <c r="R79" s="39"/>
      <c r="S79" s="39"/>
      <c r="T79" s="39"/>
      <c r="U79" s="39"/>
      <c r="V79" s="39"/>
      <c r="W79" s="39"/>
      <c r="X79" s="39"/>
      <c r="Y79" s="39"/>
      <c r="Z79" s="39"/>
    </row>
    <row r="80">
      <c r="A80" s="48"/>
      <c r="B80" s="39"/>
      <c r="C80" s="40">
        <v>970.0</v>
      </c>
      <c r="D80" s="39">
        <v>52.0</v>
      </c>
      <c r="E80" s="46">
        <v>40909.0</v>
      </c>
      <c r="F80" s="39" t="s">
        <v>187</v>
      </c>
      <c r="G80" s="39" t="s">
        <v>107</v>
      </c>
      <c r="H80" s="39">
        <v>17.0</v>
      </c>
      <c r="I80" s="39"/>
      <c r="J80" s="39"/>
      <c r="K80" s="39"/>
      <c r="L80" s="39"/>
      <c r="M80" s="39"/>
      <c r="N80" s="39"/>
      <c r="O80" s="39"/>
      <c r="P80" s="39"/>
      <c r="Q80" s="39"/>
      <c r="R80" s="39"/>
      <c r="S80" s="39"/>
      <c r="T80" s="39"/>
      <c r="U80" s="39"/>
      <c r="V80" s="39"/>
      <c r="W80" s="39"/>
      <c r="X80" s="39"/>
      <c r="Y80" s="39"/>
      <c r="Z80" s="39"/>
    </row>
    <row r="81">
      <c r="A81" s="48"/>
      <c r="B81" s="39"/>
      <c r="C81" s="40"/>
      <c r="D81" s="39"/>
      <c r="E81" s="39"/>
      <c r="F81" s="39"/>
      <c r="G81" s="39"/>
      <c r="H81" s="39"/>
      <c r="I81" s="39"/>
      <c r="J81" s="39"/>
      <c r="K81" s="39"/>
      <c r="L81" s="39"/>
      <c r="M81" s="39"/>
      <c r="N81" s="39"/>
      <c r="O81" s="39"/>
      <c r="P81" s="39"/>
      <c r="Q81" s="39"/>
      <c r="R81" s="39"/>
      <c r="S81" s="39"/>
      <c r="T81" s="39"/>
      <c r="U81" s="39"/>
      <c r="V81" s="39"/>
      <c r="W81" s="39"/>
      <c r="X81" s="39"/>
      <c r="Y81" s="39"/>
      <c r="Z81" s="39"/>
    </row>
    <row r="82">
      <c r="A82" s="42" t="s">
        <v>66</v>
      </c>
      <c r="B82" s="43"/>
      <c r="C82" s="43"/>
      <c r="D82" s="44" t="s">
        <v>188</v>
      </c>
      <c r="E82" s="43"/>
      <c r="F82" s="43"/>
      <c r="G82" s="43"/>
      <c r="H82" s="43"/>
      <c r="I82" s="43"/>
      <c r="J82" s="43"/>
      <c r="K82" s="43"/>
      <c r="L82" s="43"/>
      <c r="M82" s="43"/>
      <c r="N82" s="43"/>
      <c r="O82" s="43"/>
      <c r="P82" s="43"/>
      <c r="Q82" s="43"/>
      <c r="R82" s="43"/>
      <c r="S82" s="43"/>
      <c r="T82" s="43"/>
      <c r="U82" s="43"/>
      <c r="V82" s="43"/>
      <c r="W82" s="43"/>
      <c r="X82" s="43"/>
      <c r="Y82" s="43"/>
      <c r="Z82" s="43"/>
    </row>
    <row r="83">
      <c r="A83" s="38"/>
      <c r="B83" s="39"/>
      <c r="C83" s="45" t="str">
        <f>IFERROR(__xludf.DUMMYFUNCTION("FILTER(Practice!A84:T103,Practice!J84:J103&gt;0)"),"Store id")</f>
        <v>Store id</v>
      </c>
      <c r="D83" s="39" t="str">
        <f>IFERROR(__xludf.DUMMYFUNCTION("""COMPUTED_VALUE"""),"Cogs")</f>
        <v>Cogs</v>
      </c>
      <c r="E83" s="46" t="str">
        <f>IFERROR(__xludf.DUMMYFUNCTION("""COMPUTED_VALUE"""),"Date")</f>
        <v>Date</v>
      </c>
      <c r="F83" s="39" t="str">
        <f>IFERROR(__xludf.DUMMYFUNCTION("""COMPUTED_VALUE"""),"Market Size")</f>
        <v>Market Size</v>
      </c>
      <c r="G83" s="39" t="str">
        <f>IFERROR(__xludf.DUMMYFUNCTION("""COMPUTED_VALUE"""),"Market")</f>
        <v>Market</v>
      </c>
      <c r="H83" s="39" t="str">
        <f>IFERROR(__xludf.DUMMYFUNCTION("""COMPUTED_VALUE"""),"Marketing")</f>
        <v>Marketing</v>
      </c>
      <c r="I83" s="39" t="str">
        <f>IFERROR(__xludf.DUMMYFUNCTION("""COMPUTED_VALUE"""),"Product Line")</f>
        <v>Product Line</v>
      </c>
      <c r="J83" s="39" t="str">
        <f>IFERROR(__xludf.DUMMYFUNCTION("""COMPUTED_VALUE"""),"Product Type")</f>
        <v>Product Type</v>
      </c>
      <c r="K83" s="39" t="str">
        <f>IFERROR(__xludf.DUMMYFUNCTION("""COMPUTED_VALUE"""),"Product")</f>
        <v>Product</v>
      </c>
      <c r="L83" s="39" t="str">
        <f>IFERROR(__xludf.DUMMYFUNCTION("""COMPUTED_VALUE"""),"Profit")</f>
        <v>Profit</v>
      </c>
      <c r="M83" s="39" t="str">
        <f>IFERROR(__xludf.DUMMYFUNCTION("""COMPUTED_VALUE"""),"Sales")</f>
        <v>Sales</v>
      </c>
      <c r="N83" s="39" t="str">
        <f>IFERROR(__xludf.DUMMYFUNCTION("""COMPUTED_VALUE"""),"State")</f>
        <v>State</v>
      </c>
      <c r="O83" s="39" t="str">
        <f>IFERROR(__xludf.DUMMYFUNCTION("""COMPUTED_VALUE"""),"Target COGS")</f>
        <v>Target COGS</v>
      </c>
      <c r="P83" s="39" t="str">
        <f>IFERROR(__xludf.DUMMYFUNCTION("""COMPUTED_VALUE"""),"Target Profit")</f>
        <v>Target Profit</v>
      </c>
      <c r="Q83" s="39" t="str">
        <f>IFERROR(__xludf.DUMMYFUNCTION("""COMPUTED_VALUE"""),"Target Sales")</f>
        <v>Target Sales</v>
      </c>
      <c r="R83" s="39" t="str">
        <f>IFERROR(__xludf.DUMMYFUNCTION("""COMPUTED_VALUE"""),"Other Expenses")</f>
        <v>Other Expenses</v>
      </c>
      <c r="S83" s="39" t="str">
        <f>IFERROR(__xludf.DUMMYFUNCTION("""COMPUTED_VALUE"""),"Highest total expense")</f>
        <v>Highest total expense</v>
      </c>
      <c r="T83" s="39" t="str">
        <f>IFERROR(__xludf.DUMMYFUNCTION("""COMPUTED_VALUE"""),"Profit Margin")</f>
        <v>Profit Margin</v>
      </c>
      <c r="U83" s="39" t="str">
        <f>IFERROR(__xludf.DUMMYFUNCTION("""COMPUTED_VALUE"""),"Year")</f>
        <v>Year</v>
      </c>
      <c r="V83" s="39" t="str">
        <f>IFERROR(__xludf.DUMMYFUNCTION("""COMPUTED_VALUE"""),"Cost")</f>
        <v>Cost</v>
      </c>
      <c r="W83" s="39"/>
      <c r="X83" s="39"/>
      <c r="Y83" s="39"/>
      <c r="Z83" s="39"/>
    </row>
    <row r="84">
      <c r="A84" s="48"/>
      <c r="B84" s="39"/>
      <c r="C84" s="40">
        <f>IFERROR(__xludf.DUMMYFUNCTION("""COMPUTED_VALUE"""),970.0)</f>
        <v>970</v>
      </c>
      <c r="D84" s="39">
        <f>IFERROR(__xludf.DUMMYFUNCTION("""COMPUTED_VALUE"""),52.0)</f>
        <v>52</v>
      </c>
      <c r="E84" s="46">
        <f>IFERROR(__xludf.DUMMYFUNCTION("""COMPUTED_VALUE"""),40909.0)</f>
        <v>40909</v>
      </c>
      <c r="F84" s="39" t="str">
        <f>IFERROR(__xludf.DUMMYFUNCTION("""COMPUTED_VALUE"""),"Major Market")</f>
        <v>Major Market</v>
      </c>
      <c r="G84" s="39" t="str">
        <f>IFERROR(__xludf.DUMMYFUNCTION("""COMPUTED_VALUE"""),"Central")</f>
        <v>Central</v>
      </c>
      <c r="H84" s="39">
        <f>IFERROR(__xludf.DUMMYFUNCTION("""COMPUTED_VALUE"""),17.0)</f>
        <v>17</v>
      </c>
      <c r="I84" s="39" t="str">
        <f>IFERROR(__xludf.DUMMYFUNCTION("""COMPUTED_VALUE"""),"Leaves")</f>
        <v>Leaves</v>
      </c>
      <c r="J84" s="39" t="str">
        <f>IFERROR(__xludf.DUMMYFUNCTION("""COMPUTED_VALUE"""),"Herbal Tea")</f>
        <v>Herbal Tea</v>
      </c>
      <c r="K84" s="39" t="str">
        <f>IFERROR(__xludf.DUMMYFUNCTION("""COMPUTED_VALUE"""),"Mint")</f>
        <v>Mint</v>
      </c>
      <c r="L84" s="39">
        <f>IFERROR(__xludf.DUMMYFUNCTION("""COMPUTED_VALUE"""),26.0)</f>
        <v>26</v>
      </c>
      <c r="M84" s="39">
        <f>IFERROR(__xludf.DUMMYFUNCTION("""COMPUTED_VALUE"""),123.0)</f>
        <v>123</v>
      </c>
      <c r="N84" s="39" t="str">
        <f>IFERROR(__xludf.DUMMYFUNCTION("""COMPUTED_VALUE"""),"Colorado")</f>
        <v>Colorado</v>
      </c>
      <c r="O84" s="39">
        <f>IFERROR(__xludf.DUMMYFUNCTION("""COMPUTED_VALUE"""),30.0)</f>
        <v>30</v>
      </c>
      <c r="P84" s="39">
        <f>IFERROR(__xludf.DUMMYFUNCTION("""COMPUTED_VALUE"""),50.0)</f>
        <v>50</v>
      </c>
      <c r="Q84" s="39">
        <f>IFERROR(__xludf.DUMMYFUNCTION("""COMPUTED_VALUE"""),90.0)</f>
        <v>90</v>
      </c>
      <c r="R84" s="39">
        <f>IFERROR(__xludf.DUMMYFUNCTION("""COMPUTED_VALUE"""),45.0)</f>
        <v>45</v>
      </c>
      <c r="S84" s="39">
        <f>IFERROR(__xludf.DUMMYFUNCTION("""COMPUTED_VALUE"""),92.0)</f>
        <v>92</v>
      </c>
      <c r="T84" s="39">
        <f>IFERROR(__xludf.DUMMYFUNCTION("""COMPUTED_VALUE"""),21.138211382113823)</f>
        <v>21.13821138</v>
      </c>
      <c r="U84" s="39">
        <f>IFERROR(__xludf.DUMMYFUNCTION("""COMPUTED_VALUE"""),2012.0)</f>
        <v>2012</v>
      </c>
      <c r="V84" s="39">
        <f>IFERROR(__xludf.DUMMYFUNCTION("""COMPUTED_VALUE"""),97.0)</f>
        <v>97</v>
      </c>
      <c r="W84" s="39"/>
      <c r="X84" s="39"/>
      <c r="Y84" s="39"/>
      <c r="Z84" s="39"/>
    </row>
    <row r="85">
      <c r="A85" s="38"/>
      <c r="B85" s="39"/>
      <c r="C85" s="40">
        <f>IFERROR(__xludf.DUMMYFUNCTION("""COMPUTED_VALUE"""),409.0)</f>
        <v>409</v>
      </c>
      <c r="D85" s="39">
        <f>IFERROR(__xludf.DUMMYFUNCTION("""COMPUTED_VALUE"""),43.0)</f>
        <v>43</v>
      </c>
      <c r="E85" s="46">
        <f>IFERROR(__xludf.DUMMYFUNCTION("""COMPUTED_VALUE"""),40940.0)</f>
        <v>40940</v>
      </c>
      <c r="F85" s="39" t="str">
        <f>IFERROR(__xludf.DUMMYFUNCTION("""COMPUTED_VALUE"""),"Major Market")</f>
        <v>Major Market</v>
      </c>
      <c r="G85" s="39" t="str">
        <f>IFERROR(__xludf.DUMMYFUNCTION("""COMPUTED_VALUE"""),"South")</f>
        <v>South</v>
      </c>
      <c r="H85" s="39">
        <f>IFERROR(__xludf.DUMMYFUNCTION("""COMPUTED_VALUE"""),13.0)</f>
        <v>13</v>
      </c>
      <c r="I85" s="39" t="str">
        <f>IFERROR(__xludf.DUMMYFUNCTION("""COMPUTED_VALUE"""),"Leaves")</f>
        <v>Leaves</v>
      </c>
      <c r="J85" s="39" t="str">
        <f>IFERROR(__xludf.DUMMYFUNCTION("""COMPUTED_VALUE"""),"Herbal Tea")</f>
        <v>Herbal Tea</v>
      </c>
      <c r="K85" s="39" t="str">
        <f>IFERROR(__xludf.DUMMYFUNCTION("""COMPUTED_VALUE"""),"Lemon")</f>
        <v>Lemon</v>
      </c>
      <c r="L85" s="39">
        <f>IFERROR(__xludf.DUMMYFUNCTION("""COMPUTED_VALUE"""),28.0)</f>
        <v>28</v>
      </c>
      <c r="M85" s="39">
        <f>IFERROR(__xludf.DUMMYFUNCTION("""COMPUTED_VALUE"""),107.0)</f>
        <v>107</v>
      </c>
      <c r="N85" s="39" t="str">
        <f>IFERROR(__xludf.DUMMYFUNCTION("""COMPUTED_VALUE"""),"Texas")</f>
        <v>Texas</v>
      </c>
      <c r="O85" s="39">
        <f>IFERROR(__xludf.DUMMYFUNCTION("""COMPUTED_VALUE"""),30.0)</f>
        <v>30</v>
      </c>
      <c r="P85" s="39">
        <f>IFERROR(__xludf.DUMMYFUNCTION("""COMPUTED_VALUE"""),50.0)</f>
        <v>50</v>
      </c>
      <c r="Q85" s="39">
        <f>IFERROR(__xludf.DUMMYFUNCTION("""COMPUTED_VALUE"""),90.0)</f>
        <v>90</v>
      </c>
      <c r="R85" s="39">
        <f>IFERROR(__xludf.DUMMYFUNCTION("""COMPUTED_VALUE"""),36.0)</f>
        <v>36</v>
      </c>
      <c r="S85" s="39">
        <f>IFERROR(__xludf.DUMMYFUNCTION("""COMPUTED_VALUE"""),79.0)</f>
        <v>79</v>
      </c>
      <c r="T85" s="39">
        <f>IFERROR(__xludf.DUMMYFUNCTION("""COMPUTED_VALUE"""),26.168224299065418)</f>
        <v>26.1682243</v>
      </c>
      <c r="U85" s="39">
        <f>IFERROR(__xludf.DUMMYFUNCTION("""COMPUTED_VALUE"""),2012.0)</f>
        <v>2012</v>
      </c>
      <c r="V85" s="39">
        <f>IFERROR(__xludf.DUMMYFUNCTION("""COMPUTED_VALUE"""),79.0)</f>
        <v>79</v>
      </c>
      <c r="W85" s="39"/>
      <c r="X85" s="39"/>
      <c r="Y85" s="39"/>
      <c r="Z85" s="39"/>
    </row>
    <row r="86">
      <c r="A86" s="38"/>
      <c r="B86" s="39"/>
      <c r="C86" s="40">
        <f>IFERROR(__xludf.DUMMYFUNCTION("""COMPUTED_VALUE"""),850.0)</f>
        <v>850</v>
      </c>
      <c r="D86" s="39">
        <f>IFERROR(__xludf.DUMMYFUNCTION("""COMPUTED_VALUE"""),38.0)</f>
        <v>38</v>
      </c>
      <c r="E86" s="46">
        <f>IFERROR(__xludf.DUMMYFUNCTION("""COMPUTED_VALUE"""),40940.0)</f>
        <v>40940</v>
      </c>
      <c r="F86" s="39" t="str">
        <f>IFERROR(__xludf.DUMMYFUNCTION("""COMPUTED_VALUE"""),"Major Market")</f>
        <v>Major Market</v>
      </c>
      <c r="G86" s="39" t="str">
        <f>IFERROR(__xludf.DUMMYFUNCTION("""COMPUTED_VALUE"""),"East")</f>
        <v>East</v>
      </c>
      <c r="H86" s="39">
        <f>IFERROR(__xludf.DUMMYFUNCTION("""COMPUTED_VALUE"""),10.0)</f>
        <v>10</v>
      </c>
      <c r="I86" s="39" t="str">
        <f>IFERROR(__xludf.DUMMYFUNCTION("""COMPUTED_VALUE"""),"Leaves")</f>
        <v>Leaves</v>
      </c>
      <c r="J86" s="39" t="str">
        <f>IFERROR(__xludf.DUMMYFUNCTION("""COMPUTED_VALUE"""),"Tea")</f>
        <v>Tea</v>
      </c>
      <c r="K86" s="39" t="str">
        <f>IFERROR(__xludf.DUMMYFUNCTION("""COMPUTED_VALUE"""),"Darjeeling")</f>
        <v>Darjeeling</v>
      </c>
      <c r="L86" s="39">
        <f>IFERROR(__xludf.DUMMYFUNCTION("""COMPUTED_VALUE"""),35.0)</f>
        <v>35</v>
      </c>
      <c r="M86" s="39">
        <f>IFERROR(__xludf.DUMMYFUNCTION("""COMPUTED_VALUE"""),94.0)</f>
        <v>94</v>
      </c>
      <c r="N86" s="39" t="str">
        <f>IFERROR(__xludf.DUMMYFUNCTION("""COMPUTED_VALUE"""),"Florida")</f>
        <v>Florida</v>
      </c>
      <c r="O86" s="39">
        <f>IFERROR(__xludf.DUMMYFUNCTION("""COMPUTED_VALUE"""),40.0)</f>
        <v>40</v>
      </c>
      <c r="P86" s="39">
        <f>IFERROR(__xludf.DUMMYFUNCTION("""COMPUTED_VALUE"""),50.0)</f>
        <v>50</v>
      </c>
      <c r="Q86" s="39">
        <f>IFERROR(__xludf.DUMMYFUNCTION("""COMPUTED_VALUE"""),100.0)</f>
        <v>100</v>
      </c>
      <c r="R86" s="39">
        <f>IFERROR(__xludf.DUMMYFUNCTION("""COMPUTED_VALUE"""),21.0)</f>
        <v>21</v>
      </c>
      <c r="S86" s="39">
        <f>IFERROR(__xludf.DUMMYFUNCTION("""COMPUTED_VALUE"""),71.0)</f>
        <v>71</v>
      </c>
      <c r="T86" s="39">
        <f>IFERROR(__xludf.DUMMYFUNCTION("""COMPUTED_VALUE"""),37.234042553191486)</f>
        <v>37.23404255</v>
      </c>
      <c r="U86" s="39">
        <f>IFERROR(__xludf.DUMMYFUNCTION("""COMPUTED_VALUE"""),2012.0)</f>
        <v>2012</v>
      </c>
      <c r="V86" s="39">
        <f>IFERROR(__xludf.DUMMYFUNCTION("""COMPUTED_VALUE"""),59.0)</f>
        <v>59</v>
      </c>
      <c r="W86" s="39"/>
      <c r="X86" s="39"/>
      <c r="Y86" s="39"/>
      <c r="Z86" s="39"/>
    </row>
    <row r="87">
      <c r="A87" s="38"/>
      <c r="B87" s="39"/>
      <c r="C87" s="40">
        <f>IFERROR(__xludf.DUMMYFUNCTION("""COMPUTED_VALUE"""),562.0)</f>
        <v>562</v>
      </c>
      <c r="D87" s="39">
        <f>IFERROR(__xludf.DUMMYFUNCTION("""COMPUTED_VALUE"""),72.0)</f>
        <v>72</v>
      </c>
      <c r="E87" s="46">
        <f>IFERROR(__xludf.DUMMYFUNCTION("""COMPUTED_VALUE"""),40940.0)</f>
        <v>40940</v>
      </c>
      <c r="F87" s="39" t="str">
        <f>IFERROR(__xludf.DUMMYFUNCTION("""COMPUTED_VALUE"""),"Major Market")</f>
        <v>Major Market</v>
      </c>
      <c r="G87" s="39" t="str">
        <f>IFERROR(__xludf.DUMMYFUNCTION("""COMPUTED_VALUE"""),"West")</f>
        <v>West</v>
      </c>
      <c r="H87" s="39">
        <f>IFERROR(__xludf.DUMMYFUNCTION("""COMPUTED_VALUE"""),23.0)</f>
        <v>23</v>
      </c>
      <c r="I87" s="39" t="str">
        <f>IFERROR(__xludf.DUMMYFUNCTION("""COMPUTED_VALUE"""),"Leaves")</f>
        <v>Leaves</v>
      </c>
      <c r="J87" s="39" t="str">
        <f>IFERROR(__xludf.DUMMYFUNCTION("""COMPUTED_VALUE"""),"Tea")</f>
        <v>Tea</v>
      </c>
      <c r="K87" s="39" t="str">
        <f>IFERROR(__xludf.DUMMYFUNCTION("""COMPUTED_VALUE"""),"Green Tea")</f>
        <v>Green Tea</v>
      </c>
      <c r="L87" s="39">
        <f>IFERROR(__xludf.DUMMYFUNCTION("""COMPUTED_VALUE"""),56.0)</f>
        <v>56</v>
      </c>
      <c r="M87" s="39">
        <f>IFERROR(__xludf.DUMMYFUNCTION("""COMPUTED_VALUE"""),182.0)</f>
        <v>182</v>
      </c>
      <c r="N87" s="39" t="str">
        <f>IFERROR(__xludf.DUMMYFUNCTION("""COMPUTED_VALUE"""),"California")</f>
        <v>California</v>
      </c>
      <c r="O87" s="39">
        <f>IFERROR(__xludf.DUMMYFUNCTION("""COMPUTED_VALUE"""),20.0)</f>
        <v>20</v>
      </c>
      <c r="P87" s="39">
        <f>IFERROR(__xludf.DUMMYFUNCTION("""COMPUTED_VALUE"""),50.0)</f>
        <v>50</v>
      </c>
      <c r="Q87" s="39">
        <f>IFERROR(__xludf.DUMMYFUNCTION("""COMPUTED_VALUE"""),80.0)</f>
        <v>80</v>
      </c>
      <c r="R87" s="39">
        <f>IFERROR(__xludf.DUMMYFUNCTION("""COMPUTED_VALUE"""),54.0)</f>
        <v>54</v>
      </c>
      <c r="S87" s="39">
        <f>IFERROR(__xludf.DUMMYFUNCTION("""COMPUTED_VALUE"""),97.0)</f>
        <v>97</v>
      </c>
      <c r="T87" s="39">
        <f>IFERROR(__xludf.DUMMYFUNCTION("""COMPUTED_VALUE"""),30.76923076923077)</f>
        <v>30.76923077</v>
      </c>
      <c r="U87" s="39">
        <f>IFERROR(__xludf.DUMMYFUNCTION("""COMPUTED_VALUE"""),2012.0)</f>
        <v>2012</v>
      </c>
      <c r="V87" s="39">
        <f>IFERROR(__xludf.DUMMYFUNCTION("""COMPUTED_VALUE"""),126.0)</f>
        <v>126</v>
      </c>
      <c r="W87" s="39"/>
      <c r="X87" s="39"/>
      <c r="Y87" s="39"/>
      <c r="Z87" s="39"/>
    </row>
    <row r="88">
      <c r="A88" s="38"/>
      <c r="B88" s="39"/>
      <c r="C88" s="40">
        <f>IFERROR(__xludf.DUMMYFUNCTION("""COMPUTED_VALUE"""),712.0)</f>
        <v>712</v>
      </c>
      <c r="D88" s="39">
        <f>IFERROR(__xludf.DUMMYFUNCTION("""COMPUTED_VALUE"""),0.0)</f>
        <v>0</v>
      </c>
      <c r="E88" s="46">
        <f>IFERROR(__xludf.DUMMYFUNCTION("""COMPUTED_VALUE"""),40969.0)</f>
        <v>40969</v>
      </c>
      <c r="F88" s="39" t="str">
        <f>IFERROR(__xludf.DUMMYFUNCTION("""COMPUTED_VALUE"""),"Small Market")</f>
        <v>Small Market</v>
      </c>
      <c r="G88" s="39" t="str">
        <f>IFERROR(__xludf.DUMMYFUNCTION("""COMPUTED_VALUE"""),"Central")</f>
        <v>Central</v>
      </c>
      <c r="H88" s="39">
        <f>IFERROR(__xludf.DUMMYFUNCTION("""COMPUTED_VALUE"""),0.0)</f>
        <v>0</v>
      </c>
      <c r="I88" s="39" t="str">
        <f>IFERROR(__xludf.DUMMYFUNCTION("""COMPUTED_VALUE"""),"Beans")</f>
        <v>Beans</v>
      </c>
      <c r="J88" s="39" t="str">
        <f>IFERROR(__xludf.DUMMYFUNCTION("""COMPUTED_VALUE"""),"Espresso")</f>
        <v>Espresso</v>
      </c>
      <c r="K88" s="39" t="str">
        <f>IFERROR(__xludf.DUMMYFUNCTION("""COMPUTED_VALUE"""),"Decaf Espresso")</f>
        <v>Decaf Espresso</v>
      </c>
      <c r="L88" s="39">
        <f>IFERROR(__xludf.DUMMYFUNCTION("""COMPUTED_VALUE"""),31.0)</f>
        <v>31</v>
      </c>
      <c r="M88" s="39">
        <f>IFERROR(__xludf.DUMMYFUNCTION("""COMPUTED_VALUE"""),43.0)</f>
        <v>43</v>
      </c>
      <c r="N88" s="39" t="str">
        <f>IFERROR(__xludf.DUMMYFUNCTION("""COMPUTED_VALUE"""),"Iowa")</f>
        <v>Iowa</v>
      </c>
      <c r="O88" s="39">
        <f>IFERROR(__xludf.DUMMYFUNCTION("""COMPUTED_VALUE"""),0.0)</f>
        <v>0</v>
      </c>
      <c r="P88" s="39">
        <f>IFERROR(__xludf.DUMMYFUNCTION("""COMPUTED_VALUE"""),60.0)</f>
        <v>60</v>
      </c>
      <c r="Q88" s="39">
        <f>IFERROR(__xludf.DUMMYFUNCTION("""COMPUTED_VALUE"""),60.0)</f>
        <v>60</v>
      </c>
      <c r="R88" s="39">
        <f>IFERROR(__xludf.DUMMYFUNCTION("""COMPUTED_VALUE"""),12.0)</f>
        <v>12</v>
      </c>
      <c r="S88" s="39">
        <f>IFERROR(__xludf.DUMMYFUNCTION("""COMPUTED_VALUE"""),12.0)</f>
        <v>12</v>
      </c>
      <c r="T88" s="39">
        <f>IFERROR(__xludf.DUMMYFUNCTION("""COMPUTED_VALUE"""),72.09302325581395)</f>
        <v>72.09302326</v>
      </c>
      <c r="U88" s="39">
        <f>IFERROR(__xludf.DUMMYFUNCTION("""COMPUTED_VALUE"""),2012.0)</f>
        <v>2012</v>
      </c>
      <c r="V88" s="39">
        <f>IFERROR(__xludf.DUMMYFUNCTION("""COMPUTED_VALUE"""),12.0)</f>
        <v>12</v>
      </c>
      <c r="W88" s="39"/>
      <c r="X88" s="39"/>
      <c r="Y88" s="39"/>
      <c r="Z88" s="39"/>
    </row>
    <row r="89">
      <c r="A89" s="38"/>
      <c r="B89" s="39"/>
      <c r="C89" s="40">
        <f>IFERROR(__xludf.DUMMYFUNCTION("""COMPUTED_VALUE"""),860.0)</f>
        <v>860</v>
      </c>
      <c r="D89" s="39">
        <f>IFERROR(__xludf.DUMMYFUNCTION("""COMPUTED_VALUE"""),47.0)</f>
        <v>47</v>
      </c>
      <c r="E89" s="46">
        <f>IFERROR(__xludf.DUMMYFUNCTION("""COMPUTED_VALUE"""),40969.0)</f>
        <v>40969</v>
      </c>
      <c r="F89" s="39" t="str">
        <f>IFERROR(__xludf.DUMMYFUNCTION("""COMPUTED_VALUE"""),"Small Market")</f>
        <v>Small Market</v>
      </c>
      <c r="G89" s="39" t="str">
        <f>IFERROR(__xludf.DUMMYFUNCTION("""COMPUTED_VALUE"""),"East")</f>
        <v>East</v>
      </c>
      <c r="H89" s="39">
        <f>IFERROR(__xludf.DUMMYFUNCTION("""COMPUTED_VALUE"""),15.0)</f>
        <v>15</v>
      </c>
      <c r="I89" s="39" t="str">
        <f>IFERROR(__xludf.DUMMYFUNCTION("""COMPUTED_VALUE"""),"Beans")</f>
        <v>Beans</v>
      </c>
      <c r="J89" s="39" t="str">
        <f>IFERROR(__xludf.DUMMYFUNCTION("""COMPUTED_VALUE"""),"Espresso")</f>
        <v>Espresso</v>
      </c>
      <c r="K89" s="39" t="str">
        <f>IFERROR(__xludf.DUMMYFUNCTION("""COMPUTED_VALUE"""),"Decaf Espresso")</f>
        <v>Decaf Espresso</v>
      </c>
      <c r="L89" s="39">
        <f>IFERROR(__xludf.DUMMYFUNCTION("""COMPUTED_VALUE"""),21.0)</f>
        <v>21</v>
      </c>
      <c r="M89" s="39">
        <f>IFERROR(__xludf.DUMMYFUNCTION("""COMPUTED_VALUE"""),111.0)</f>
        <v>111</v>
      </c>
      <c r="N89" s="39" t="str">
        <f>IFERROR(__xludf.DUMMYFUNCTION("""COMPUTED_VALUE"""),"Connecticut")</f>
        <v>Connecticut</v>
      </c>
      <c r="O89" s="39">
        <f>IFERROR(__xludf.DUMMYFUNCTION("""COMPUTED_VALUE"""),30.0)</f>
        <v>30</v>
      </c>
      <c r="P89" s="39">
        <f>IFERROR(__xludf.DUMMYFUNCTION("""COMPUTED_VALUE"""),50.0)</f>
        <v>50</v>
      </c>
      <c r="Q89" s="39">
        <f>IFERROR(__xludf.DUMMYFUNCTION("""COMPUTED_VALUE"""),90.0)</f>
        <v>90</v>
      </c>
      <c r="R89" s="39">
        <f>IFERROR(__xludf.DUMMYFUNCTION("""COMPUTED_VALUE"""),43.0)</f>
        <v>43</v>
      </c>
      <c r="S89" s="39">
        <f>IFERROR(__xludf.DUMMYFUNCTION("""COMPUTED_VALUE"""),88.0)</f>
        <v>88</v>
      </c>
      <c r="T89" s="39">
        <f>IFERROR(__xludf.DUMMYFUNCTION("""COMPUTED_VALUE"""),18.91891891891892)</f>
        <v>18.91891892</v>
      </c>
      <c r="U89" s="39">
        <f>IFERROR(__xludf.DUMMYFUNCTION("""COMPUTED_VALUE"""),2012.0)</f>
        <v>2012</v>
      </c>
      <c r="V89" s="39">
        <f>IFERROR(__xludf.DUMMYFUNCTION("""COMPUTED_VALUE"""),90.0)</f>
        <v>90</v>
      </c>
      <c r="W89" s="39"/>
      <c r="X89" s="39"/>
      <c r="Y89" s="39"/>
      <c r="Z89" s="39"/>
    </row>
    <row r="90">
      <c r="A90" s="38"/>
      <c r="B90" s="39"/>
      <c r="C90" s="40">
        <f>IFERROR(__xludf.DUMMYFUNCTION("""COMPUTED_VALUE"""),918.0)</f>
        <v>918</v>
      </c>
      <c r="D90" s="39">
        <f>IFERROR(__xludf.DUMMYFUNCTION("""COMPUTED_VALUE"""),27.0)</f>
        <v>27</v>
      </c>
      <c r="E90" s="46">
        <f>IFERROR(__xludf.DUMMYFUNCTION("""COMPUTED_VALUE"""),41334.0)</f>
        <v>41334</v>
      </c>
      <c r="F90" s="39" t="str">
        <f>IFERROR(__xludf.DUMMYFUNCTION("""COMPUTED_VALUE"""),"Small Market")</f>
        <v>Small Market</v>
      </c>
      <c r="G90" s="39" t="str">
        <f>IFERROR(__xludf.DUMMYFUNCTION("""COMPUTED_VALUE"""),"South")</f>
        <v>South</v>
      </c>
      <c r="H90" s="39">
        <f>IFERROR(__xludf.DUMMYFUNCTION("""COMPUTED_VALUE"""),7.0)</f>
        <v>7</v>
      </c>
      <c r="I90" s="39" t="str">
        <f>IFERROR(__xludf.DUMMYFUNCTION("""COMPUTED_VALUE"""),"Beans")</f>
        <v>Beans</v>
      </c>
      <c r="J90" s="39" t="str">
        <f>IFERROR(__xludf.DUMMYFUNCTION("""COMPUTED_VALUE"""),"Coffee")</f>
        <v>Coffee</v>
      </c>
      <c r="K90" s="39" t="str">
        <f>IFERROR(__xludf.DUMMYFUNCTION("""COMPUTED_VALUE"""),"Decaf Irish Cream")</f>
        <v>Decaf Irish Cream</v>
      </c>
      <c r="L90" s="39">
        <f>IFERROR(__xludf.DUMMYFUNCTION("""COMPUTED_VALUE"""),21.0)</f>
        <v>21</v>
      </c>
      <c r="M90" s="39">
        <f>IFERROR(__xludf.DUMMYFUNCTION("""COMPUTED_VALUE"""),66.0)</f>
        <v>66</v>
      </c>
      <c r="N90" s="39" t="str">
        <f>IFERROR(__xludf.DUMMYFUNCTION("""COMPUTED_VALUE"""),"Oklahoma")</f>
        <v>Oklahoma</v>
      </c>
      <c r="O90" s="39">
        <f>IFERROR(__xludf.DUMMYFUNCTION("""COMPUTED_VALUE"""),30.0)</f>
        <v>30</v>
      </c>
      <c r="P90" s="39">
        <f>IFERROR(__xludf.DUMMYFUNCTION("""COMPUTED_VALUE"""),60.0)</f>
        <v>60</v>
      </c>
      <c r="Q90" s="39">
        <f>IFERROR(__xludf.DUMMYFUNCTION("""COMPUTED_VALUE"""),90.0)</f>
        <v>90</v>
      </c>
      <c r="R90" s="39">
        <f>IFERROR(__xludf.DUMMYFUNCTION("""COMPUTED_VALUE"""),18.0)</f>
        <v>18</v>
      </c>
      <c r="S90" s="39">
        <f>IFERROR(__xludf.DUMMYFUNCTION("""COMPUTED_VALUE"""),55.0)</f>
        <v>55</v>
      </c>
      <c r="T90" s="39">
        <f>IFERROR(__xludf.DUMMYFUNCTION("""COMPUTED_VALUE"""),31.818181818181817)</f>
        <v>31.81818182</v>
      </c>
      <c r="U90" s="39">
        <f>IFERROR(__xludf.DUMMYFUNCTION("""COMPUTED_VALUE"""),2013.0)</f>
        <v>2013</v>
      </c>
      <c r="V90" s="39">
        <f>IFERROR(__xludf.DUMMYFUNCTION("""COMPUTED_VALUE"""),45.0)</f>
        <v>45</v>
      </c>
      <c r="W90" s="39"/>
      <c r="X90" s="39"/>
      <c r="Y90" s="39"/>
      <c r="Z90" s="39"/>
    </row>
    <row r="91">
      <c r="A91" s="38"/>
      <c r="B91" s="39"/>
      <c r="C91" s="40">
        <f>IFERROR(__xludf.DUMMYFUNCTION("""COMPUTED_VALUE"""),775.0)</f>
        <v>775</v>
      </c>
      <c r="D91" s="39">
        <f>IFERROR(__xludf.DUMMYFUNCTION("""COMPUTED_VALUE"""),31.0)</f>
        <v>31</v>
      </c>
      <c r="E91" s="46">
        <f>IFERROR(__xludf.DUMMYFUNCTION("""COMPUTED_VALUE"""),41334.0)</f>
        <v>41334</v>
      </c>
      <c r="F91" s="39" t="str">
        <f>IFERROR(__xludf.DUMMYFUNCTION("""COMPUTED_VALUE"""),"Small Market")</f>
        <v>Small Market</v>
      </c>
      <c r="G91" s="39" t="str">
        <f>IFERROR(__xludf.DUMMYFUNCTION("""COMPUTED_VALUE"""),"West")</f>
        <v>West</v>
      </c>
      <c r="H91" s="39">
        <f>IFERROR(__xludf.DUMMYFUNCTION("""COMPUTED_VALUE"""),9.0)</f>
        <v>9</v>
      </c>
      <c r="I91" s="39" t="str">
        <f>IFERROR(__xludf.DUMMYFUNCTION("""COMPUTED_VALUE"""),"Beans")</f>
        <v>Beans</v>
      </c>
      <c r="J91" s="39" t="str">
        <f>IFERROR(__xludf.DUMMYFUNCTION("""COMPUTED_VALUE"""),"Coffee")</f>
        <v>Coffee</v>
      </c>
      <c r="K91" s="39" t="str">
        <f>IFERROR(__xludf.DUMMYFUNCTION("""COMPUTED_VALUE"""),"Decaf Irish Cream")</f>
        <v>Decaf Irish Cream</v>
      </c>
      <c r="L91" s="39">
        <f>IFERROR(__xludf.DUMMYFUNCTION("""COMPUTED_VALUE"""),7.0)</f>
        <v>7</v>
      </c>
      <c r="M91" s="39">
        <f>IFERROR(__xludf.DUMMYFUNCTION("""COMPUTED_VALUE"""),68.0)</f>
        <v>68</v>
      </c>
      <c r="N91" s="39" t="str">
        <f>IFERROR(__xludf.DUMMYFUNCTION("""COMPUTED_VALUE"""),"Nevada")</f>
        <v>Nevada</v>
      </c>
      <c r="O91" s="39">
        <f>IFERROR(__xludf.DUMMYFUNCTION("""COMPUTED_VALUE"""),30.0)</f>
        <v>30</v>
      </c>
      <c r="P91" s="39">
        <f>IFERROR(__xludf.DUMMYFUNCTION("""COMPUTED_VALUE"""),50.0)</f>
        <v>50</v>
      </c>
      <c r="Q91" s="39">
        <f>IFERROR(__xludf.DUMMYFUNCTION("""COMPUTED_VALUE"""),90.0)</f>
        <v>90</v>
      </c>
      <c r="R91" s="39">
        <f>IFERROR(__xludf.DUMMYFUNCTION("""COMPUTED_VALUE"""),30.0)</f>
        <v>30</v>
      </c>
      <c r="S91" s="39">
        <f>IFERROR(__xludf.DUMMYFUNCTION("""COMPUTED_VALUE"""),69.0)</f>
        <v>69</v>
      </c>
      <c r="T91" s="39">
        <f>IFERROR(__xludf.DUMMYFUNCTION("""COMPUTED_VALUE"""),10.294117647058822)</f>
        <v>10.29411765</v>
      </c>
      <c r="U91" s="39">
        <f>IFERROR(__xludf.DUMMYFUNCTION("""COMPUTED_VALUE"""),2013.0)</f>
        <v>2013</v>
      </c>
      <c r="V91" s="39">
        <f>IFERROR(__xludf.DUMMYFUNCTION("""COMPUTED_VALUE"""),61.0)</f>
        <v>61</v>
      </c>
      <c r="W91" s="39"/>
      <c r="X91" s="39"/>
      <c r="Y91" s="39"/>
      <c r="Z91" s="39"/>
    </row>
    <row r="92">
      <c r="A92" s="38"/>
      <c r="B92" s="39"/>
      <c r="C92" s="40">
        <f>IFERROR(__xludf.DUMMYFUNCTION("""COMPUTED_VALUE"""),435.0)</f>
        <v>435</v>
      </c>
      <c r="D92" s="39">
        <f>IFERROR(__xludf.DUMMYFUNCTION("""COMPUTED_VALUE"""),40.0)</f>
        <v>40</v>
      </c>
      <c r="E92" s="46">
        <f>IFERROR(__xludf.DUMMYFUNCTION("""COMPUTED_VALUE"""),41426.0)</f>
        <v>41426</v>
      </c>
      <c r="F92" s="39" t="str">
        <f>IFERROR(__xludf.DUMMYFUNCTION("""COMPUTED_VALUE"""),"Small Market")</f>
        <v>Small Market</v>
      </c>
      <c r="G92" s="39" t="str">
        <f>IFERROR(__xludf.DUMMYFUNCTION("""COMPUTED_VALUE"""),"West")</f>
        <v>West</v>
      </c>
      <c r="H92" s="39">
        <f>IFERROR(__xludf.DUMMYFUNCTION("""COMPUTED_VALUE"""),11.0)</f>
        <v>11</v>
      </c>
      <c r="I92" s="39" t="str">
        <f>IFERROR(__xludf.DUMMYFUNCTION("""COMPUTED_VALUE"""),"Beans")</f>
        <v>Beans</v>
      </c>
      <c r="J92" s="39" t="str">
        <f>IFERROR(__xludf.DUMMYFUNCTION("""COMPUTED_VALUE"""),"Espresso")</f>
        <v>Espresso</v>
      </c>
      <c r="K92" s="39" t="str">
        <f>IFERROR(__xludf.DUMMYFUNCTION("""COMPUTED_VALUE"""),"Decaf Espresso")</f>
        <v>Decaf Espresso</v>
      </c>
      <c r="L92" s="39">
        <f>IFERROR(__xludf.DUMMYFUNCTION("""COMPUTED_VALUE"""),37.0)</f>
        <v>37</v>
      </c>
      <c r="M92" s="39">
        <f>IFERROR(__xludf.DUMMYFUNCTION("""COMPUTED_VALUE"""),99.0)</f>
        <v>99</v>
      </c>
      <c r="N92" s="39" t="str">
        <f>IFERROR(__xludf.DUMMYFUNCTION("""COMPUTED_VALUE"""),"Utah")</f>
        <v>Utah</v>
      </c>
      <c r="O92" s="39">
        <f>IFERROR(__xludf.DUMMYFUNCTION("""COMPUTED_VALUE"""),20.0)</f>
        <v>20</v>
      </c>
      <c r="P92" s="39">
        <f>IFERROR(__xludf.DUMMYFUNCTION("""COMPUTED_VALUE"""),60.0)</f>
        <v>60</v>
      </c>
      <c r="Q92" s="39">
        <f>IFERROR(__xludf.DUMMYFUNCTION("""COMPUTED_VALUE"""),80.0)</f>
        <v>80</v>
      </c>
      <c r="R92" s="39">
        <f>IFERROR(__xludf.DUMMYFUNCTION("""COMPUTED_VALUE"""),22.0)</f>
        <v>22</v>
      </c>
      <c r="S92" s="39">
        <f>IFERROR(__xludf.DUMMYFUNCTION("""COMPUTED_VALUE"""),53.0)</f>
        <v>53</v>
      </c>
      <c r="T92" s="39">
        <f>IFERROR(__xludf.DUMMYFUNCTION("""COMPUTED_VALUE"""),37.37373737373738)</f>
        <v>37.37373737</v>
      </c>
      <c r="U92" s="39">
        <f>IFERROR(__xludf.DUMMYFUNCTION("""COMPUTED_VALUE"""),2013.0)</f>
        <v>2013</v>
      </c>
      <c r="V92" s="39">
        <f>IFERROR(__xludf.DUMMYFUNCTION("""COMPUTED_VALUE"""),62.0)</f>
        <v>62</v>
      </c>
      <c r="W92" s="39"/>
      <c r="X92" s="39"/>
      <c r="Y92" s="39"/>
      <c r="Z92" s="39"/>
    </row>
    <row r="93">
      <c r="A93" s="38"/>
      <c r="B93" s="39"/>
      <c r="C93" s="40">
        <f>IFERROR(__xludf.DUMMYFUNCTION("""COMPUTED_VALUE"""),603.0)</f>
        <v>603</v>
      </c>
      <c r="D93" s="39">
        <f>IFERROR(__xludf.DUMMYFUNCTION("""COMPUTED_VALUE"""),49.0)</f>
        <v>49</v>
      </c>
      <c r="E93" s="46">
        <f>IFERROR(__xludf.DUMMYFUNCTION("""COMPUTED_VALUE"""),41456.0)</f>
        <v>41456</v>
      </c>
      <c r="F93" s="39" t="str">
        <f>IFERROR(__xludf.DUMMYFUNCTION("""COMPUTED_VALUE"""),"Small Market")</f>
        <v>Small Market</v>
      </c>
      <c r="G93" s="39" t="str">
        <f>IFERROR(__xludf.DUMMYFUNCTION("""COMPUTED_VALUE"""),"East")</f>
        <v>East</v>
      </c>
      <c r="H93" s="39">
        <f>IFERROR(__xludf.DUMMYFUNCTION("""COMPUTED_VALUE"""),15.0)</f>
        <v>15</v>
      </c>
      <c r="I93" s="39" t="str">
        <f>IFERROR(__xludf.DUMMYFUNCTION("""COMPUTED_VALUE"""),"Beans")</f>
        <v>Beans</v>
      </c>
      <c r="J93" s="39" t="str">
        <f>IFERROR(__xludf.DUMMYFUNCTION("""COMPUTED_VALUE"""),"Coffee")</f>
        <v>Coffee</v>
      </c>
      <c r="K93" s="39" t="str">
        <f>IFERROR(__xludf.DUMMYFUNCTION("""COMPUTED_VALUE"""),"Amaretto")</f>
        <v>Amaretto</v>
      </c>
      <c r="L93" s="39">
        <f>IFERROR(__xludf.DUMMYFUNCTION("""COMPUTED_VALUE"""),33.0)</f>
        <v>33</v>
      </c>
      <c r="M93" s="39">
        <f>IFERROR(__xludf.DUMMYFUNCTION("""COMPUTED_VALUE"""),120.0)</f>
        <v>120</v>
      </c>
      <c r="N93" s="39" t="str">
        <f>IFERROR(__xludf.DUMMYFUNCTION("""COMPUTED_VALUE"""),"New Hampshire")</f>
        <v>New Hampshire</v>
      </c>
      <c r="O93" s="39">
        <f>IFERROR(__xludf.DUMMYFUNCTION("""COMPUTED_VALUE"""),30.0)</f>
        <v>30</v>
      </c>
      <c r="P93" s="39">
        <f>IFERROR(__xludf.DUMMYFUNCTION("""COMPUTED_VALUE"""),60.0)</f>
        <v>60</v>
      </c>
      <c r="Q93" s="39">
        <f>IFERROR(__xludf.DUMMYFUNCTION("""COMPUTED_VALUE"""),90.0)</f>
        <v>90</v>
      </c>
      <c r="R93" s="39">
        <f>IFERROR(__xludf.DUMMYFUNCTION("""COMPUTED_VALUE"""),38.0)</f>
        <v>38</v>
      </c>
      <c r="S93" s="39">
        <f>IFERROR(__xludf.DUMMYFUNCTION("""COMPUTED_VALUE"""),83.0)</f>
        <v>83</v>
      </c>
      <c r="T93" s="39">
        <f>IFERROR(__xludf.DUMMYFUNCTION("""COMPUTED_VALUE"""),27.500000000000004)</f>
        <v>27.5</v>
      </c>
      <c r="U93" s="39">
        <f>IFERROR(__xludf.DUMMYFUNCTION("""COMPUTED_VALUE"""),2013.0)</f>
        <v>2013</v>
      </c>
      <c r="V93" s="39">
        <f>IFERROR(__xludf.DUMMYFUNCTION("""COMPUTED_VALUE"""),87.0)</f>
        <v>87</v>
      </c>
      <c r="W93" s="39"/>
      <c r="X93" s="39"/>
      <c r="Y93" s="39"/>
      <c r="Z93" s="39"/>
    </row>
    <row r="94">
      <c r="A94" s="38"/>
      <c r="B94" s="39"/>
      <c r="C94" s="40">
        <f>IFERROR(__xludf.DUMMYFUNCTION("""COMPUTED_VALUE"""),603.0)</f>
        <v>603</v>
      </c>
      <c r="D94" s="39">
        <f>IFERROR(__xludf.DUMMYFUNCTION("""COMPUTED_VALUE"""),45.0)</f>
        <v>45</v>
      </c>
      <c r="E94" s="46">
        <f>IFERROR(__xludf.DUMMYFUNCTION("""COMPUTED_VALUE"""),41456.0)</f>
        <v>41456</v>
      </c>
      <c r="F94" s="39" t="str">
        <f>IFERROR(__xludf.DUMMYFUNCTION("""COMPUTED_VALUE"""),"Small Market")</f>
        <v>Small Market</v>
      </c>
      <c r="G94" s="39" t="str">
        <f>IFERROR(__xludf.DUMMYFUNCTION("""COMPUTED_VALUE"""),"East")</f>
        <v>East</v>
      </c>
      <c r="H94" s="39">
        <f>IFERROR(__xludf.DUMMYFUNCTION("""COMPUTED_VALUE"""),14.0)</f>
        <v>14</v>
      </c>
      <c r="I94" s="39" t="str">
        <f>IFERROR(__xludf.DUMMYFUNCTION("""COMPUTED_VALUE"""),"Beans")</f>
        <v>Beans</v>
      </c>
      <c r="J94" s="39" t="str">
        <f>IFERROR(__xludf.DUMMYFUNCTION("""COMPUTED_VALUE"""),"Coffee")</f>
        <v>Coffee</v>
      </c>
      <c r="K94" s="39" t="str">
        <f>IFERROR(__xludf.DUMMYFUNCTION("""COMPUTED_VALUE"""),"Colombian")</f>
        <v>Colombian</v>
      </c>
      <c r="L94" s="39">
        <f>IFERROR(__xludf.DUMMYFUNCTION("""COMPUTED_VALUE"""),24.0)</f>
        <v>24</v>
      </c>
      <c r="M94" s="39">
        <f>IFERROR(__xludf.DUMMYFUNCTION("""COMPUTED_VALUE"""),114.0)</f>
        <v>114</v>
      </c>
      <c r="N94" s="39" t="str">
        <f>IFERROR(__xludf.DUMMYFUNCTION("""COMPUTED_VALUE"""),"New Hampshire")</f>
        <v>New Hampshire</v>
      </c>
      <c r="O94" s="39">
        <f>IFERROR(__xludf.DUMMYFUNCTION("""COMPUTED_VALUE"""),30.0)</f>
        <v>30</v>
      </c>
      <c r="P94" s="39">
        <f>IFERROR(__xludf.DUMMYFUNCTION("""COMPUTED_VALUE"""),50.0)</f>
        <v>50</v>
      </c>
      <c r="Q94" s="39">
        <f>IFERROR(__xludf.DUMMYFUNCTION("""COMPUTED_VALUE"""),90.0)</f>
        <v>90</v>
      </c>
      <c r="R94" s="39">
        <f>IFERROR(__xludf.DUMMYFUNCTION("""COMPUTED_VALUE"""),45.0)</f>
        <v>45</v>
      </c>
      <c r="S94" s="39">
        <f>IFERROR(__xludf.DUMMYFUNCTION("""COMPUTED_VALUE"""),89.0)</f>
        <v>89</v>
      </c>
      <c r="T94" s="39">
        <f>IFERROR(__xludf.DUMMYFUNCTION("""COMPUTED_VALUE"""),21.052631578947366)</f>
        <v>21.05263158</v>
      </c>
      <c r="U94" s="39">
        <f>IFERROR(__xludf.DUMMYFUNCTION("""COMPUTED_VALUE"""),2013.0)</f>
        <v>2013</v>
      </c>
      <c r="V94" s="39">
        <f>IFERROR(__xludf.DUMMYFUNCTION("""COMPUTED_VALUE"""),90.0)</f>
        <v>90</v>
      </c>
      <c r="W94" s="39"/>
      <c r="X94" s="39"/>
      <c r="Y94" s="39"/>
      <c r="Z94" s="39"/>
    </row>
    <row r="95">
      <c r="A95" s="48"/>
      <c r="B95" s="39"/>
      <c r="C95" s="40">
        <f>IFERROR(__xludf.DUMMYFUNCTION("""COMPUTED_VALUE"""),318.0)</f>
        <v>318</v>
      </c>
      <c r="D95" s="39">
        <f>IFERROR(__xludf.DUMMYFUNCTION("""COMPUTED_VALUE"""),60.0)</f>
        <v>60</v>
      </c>
      <c r="E95" s="46">
        <f>IFERROR(__xludf.DUMMYFUNCTION("""COMPUTED_VALUE"""),41487.0)</f>
        <v>41487</v>
      </c>
      <c r="F95" s="39" t="str">
        <f>IFERROR(__xludf.DUMMYFUNCTION("""COMPUTED_VALUE"""),"Small Market")</f>
        <v>Small Market</v>
      </c>
      <c r="G95" s="39" t="str">
        <f>IFERROR(__xludf.DUMMYFUNCTION("""COMPUTED_VALUE"""),"South")</f>
        <v>South</v>
      </c>
      <c r="H95" s="39">
        <f>IFERROR(__xludf.DUMMYFUNCTION("""COMPUTED_VALUE"""),54.0)</f>
        <v>54</v>
      </c>
      <c r="I95" s="39" t="str">
        <f>IFERROR(__xludf.DUMMYFUNCTION("""COMPUTED_VALUE"""),"Beans")</f>
        <v>Beans</v>
      </c>
      <c r="J95" s="39" t="str">
        <f>IFERROR(__xludf.DUMMYFUNCTION("""COMPUTED_VALUE"""),"Espresso")</f>
        <v>Espresso</v>
      </c>
      <c r="K95" s="39" t="str">
        <f>IFERROR(__xludf.DUMMYFUNCTION("""COMPUTED_VALUE"""),"Caffe Latte")</f>
        <v>Caffe Latte</v>
      </c>
      <c r="L95" s="39">
        <f>IFERROR(__xludf.DUMMYFUNCTION("""COMPUTED_VALUE"""),1.0)</f>
        <v>1</v>
      </c>
      <c r="M95" s="39">
        <f>IFERROR(__xludf.DUMMYFUNCTION("""COMPUTED_VALUE"""),144.0)</f>
        <v>144</v>
      </c>
      <c r="N95" s="39" t="str">
        <f>IFERROR(__xludf.DUMMYFUNCTION("""COMPUTED_VALUE"""),"Louisiana")</f>
        <v>Louisiana</v>
      </c>
      <c r="O95" s="39">
        <f>IFERROR(__xludf.DUMMYFUNCTION("""COMPUTED_VALUE"""),30.0)</f>
        <v>30</v>
      </c>
      <c r="P95" s="39">
        <f>IFERROR(__xludf.DUMMYFUNCTION("""COMPUTED_VALUE"""),10.0)</f>
        <v>10</v>
      </c>
      <c r="Q95" s="39">
        <f>IFERROR(__xludf.DUMMYFUNCTION("""COMPUTED_VALUE"""),90.0)</f>
        <v>90</v>
      </c>
      <c r="R95" s="39">
        <f>IFERROR(__xludf.DUMMYFUNCTION("""COMPUTED_VALUE"""),83.0)</f>
        <v>83</v>
      </c>
      <c r="S95" s="39">
        <f>IFERROR(__xludf.DUMMYFUNCTION("""COMPUTED_VALUE"""),167.0)</f>
        <v>167</v>
      </c>
      <c r="T95" s="39">
        <f>IFERROR(__xludf.DUMMYFUNCTION("""COMPUTED_VALUE"""),0.6944444444444444)</f>
        <v>0.6944444444</v>
      </c>
      <c r="U95" s="39">
        <f>IFERROR(__xludf.DUMMYFUNCTION("""COMPUTED_VALUE"""),2013.0)</f>
        <v>2013</v>
      </c>
      <c r="V95" s="39">
        <f>IFERROR(__xludf.DUMMYFUNCTION("""COMPUTED_VALUE"""),143.0)</f>
        <v>143</v>
      </c>
      <c r="W95" s="39"/>
      <c r="X95" s="39"/>
      <c r="Y95" s="39"/>
      <c r="Z95" s="39"/>
    </row>
    <row r="96">
      <c r="A96" s="48"/>
      <c r="B96" s="39"/>
      <c r="C96" s="40">
        <f>IFERROR(__xludf.DUMMYFUNCTION("""COMPUTED_VALUE"""),503.0)</f>
        <v>503</v>
      </c>
      <c r="D96" s="39">
        <f>IFERROR(__xludf.DUMMYFUNCTION("""COMPUTED_VALUE"""),54.0)</f>
        <v>54</v>
      </c>
      <c r="E96" s="46">
        <f>IFERROR(__xludf.DUMMYFUNCTION("""COMPUTED_VALUE"""),41548.0)</f>
        <v>41548</v>
      </c>
      <c r="F96" s="39" t="str">
        <f>IFERROR(__xludf.DUMMYFUNCTION("""COMPUTED_VALUE"""),"Small Market")</f>
        <v>Small Market</v>
      </c>
      <c r="G96" s="39" t="str">
        <f>IFERROR(__xludf.DUMMYFUNCTION("""COMPUTED_VALUE"""),"West")</f>
        <v>West</v>
      </c>
      <c r="H96" s="39">
        <f>IFERROR(__xludf.DUMMYFUNCTION("""COMPUTED_VALUE"""),20.0)</f>
        <v>20</v>
      </c>
      <c r="I96" s="39" t="str">
        <f>IFERROR(__xludf.DUMMYFUNCTION("""COMPUTED_VALUE"""),"Beans")</f>
        <v>Beans</v>
      </c>
      <c r="J96" s="39" t="str">
        <f>IFERROR(__xludf.DUMMYFUNCTION("""COMPUTED_VALUE"""),"Espresso")</f>
        <v>Espresso</v>
      </c>
      <c r="K96" s="39" t="str">
        <f>IFERROR(__xludf.DUMMYFUNCTION("""COMPUTED_VALUE"""),"Caffe Latte")</f>
        <v>Caffe Latte</v>
      </c>
      <c r="L96" s="39">
        <f>IFERROR(__xludf.DUMMYFUNCTION("""COMPUTED_VALUE"""),12.0)</f>
        <v>12</v>
      </c>
      <c r="M96" s="39">
        <f>IFERROR(__xludf.DUMMYFUNCTION("""COMPUTED_VALUE"""),120.0)</f>
        <v>120</v>
      </c>
      <c r="N96" s="39" t="str">
        <f>IFERROR(__xludf.DUMMYFUNCTION("""COMPUTED_VALUE"""),"Oregon")</f>
        <v>Oregon</v>
      </c>
      <c r="O96" s="39">
        <f>IFERROR(__xludf.DUMMYFUNCTION("""COMPUTED_VALUE"""),40.0)</f>
        <v>40</v>
      </c>
      <c r="P96" s="39">
        <f>IFERROR(__xludf.DUMMYFUNCTION("""COMPUTED_VALUE"""),40.0)</f>
        <v>40</v>
      </c>
      <c r="Q96" s="39">
        <f>IFERROR(__xludf.DUMMYFUNCTION("""COMPUTED_VALUE"""),100.0)</f>
        <v>100</v>
      </c>
      <c r="R96" s="39">
        <f>IFERROR(__xludf.DUMMYFUNCTION("""COMPUTED_VALUE"""),54.0)</f>
        <v>54</v>
      </c>
      <c r="S96" s="39">
        <f>IFERROR(__xludf.DUMMYFUNCTION("""COMPUTED_VALUE"""),114.0)</f>
        <v>114</v>
      </c>
      <c r="T96" s="39">
        <f>IFERROR(__xludf.DUMMYFUNCTION("""COMPUTED_VALUE"""),10.0)</f>
        <v>10</v>
      </c>
      <c r="U96" s="39">
        <f>IFERROR(__xludf.DUMMYFUNCTION("""COMPUTED_VALUE"""),2013.0)</f>
        <v>2013</v>
      </c>
      <c r="V96" s="39">
        <f>IFERROR(__xludf.DUMMYFUNCTION("""COMPUTED_VALUE"""),108.0)</f>
        <v>108</v>
      </c>
      <c r="W96" s="39"/>
      <c r="X96" s="39"/>
      <c r="Y96" s="39"/>
      <c r="Z96" s="39"/>
    </row>
    <row r="97">
      <c r="A97" s="48"/>
      <c r="B97" s="39"/>
      <c r="C97" s="40">
        <f>IFERROR(__xludf.DUMMYFUNCTION("""COMPUTED_VALUE"""),262.0)</f>
        <v>262</v>
      </c>
      <c r="D97" s="39">
        <f>IFERROR(__xludf.DUMMYFUNCTION("""COMPUTED_VALUE"""),48.0)</f>
        <v>48</v>
      </c>
      <c r="E97" s="46">
        <f>IFERROR(__xludf.DUMMYFUNCTION("""COMPUTED_VALUE"""),41548.0)</f>
        <v>41548</v>
      </c>
      <c r="F97" s="39" t="str">
        <f>IFERROR(__xludf.DUMMYFUNCTION("""COMPUTED_VALUE"""),"Small Market")</f>
        <v>Small Market</v>
      </c>
      <c r="G97" s="39" t="str">
        <f>IFERROR(__xludf.DUMMYFUNCTION("""COMPUTED_VALUE"""),"Central")</f>
        <v>Central</v>
      </c>
      <c r="H97" s="39">
        <f>IFERROR(__xludf.DUMMYFUNCTION("""COMPUTED_VALUE"""),13.0)</f>
        <v>13</v>
      </c>
      <c r="I97" s="39" t="str">
        <f>IFERROR(__xludf.DUMMYFUNCTION("""COMPUTED_VALUE"""),"Leaves")</f>
        <v>Leaves</v>
      </c>
      <c r="J97" s="39" t="str">
        <f>IFERROR(__xludf.DUMMYFUNCTION("""COMPUTED_VALUE"""),"Herbal Tea")</f>
        <v>Herbal Tea</v>
      </c>
      <c r="K97" s="39" t="str">
        <f>IFERROR(__xludf.DUMMYFUNCTION("""COMPUTED_VALUE"""),"Lemon")</f>
        <v>Lemon</v>
      </c>
      <c r="L97" s="39">
        <f>IFERROR(__xludf.DUMMYFUNCTION("""COMPUTED_VALUE"""),45.0)</f>
        <v>45</v>
      </c>
      <c r="M97" s="39">
        <f>IFERROR(__xludf.DUMMYFUNCTION("""COMPUTED_VALUE"""),118.0)</f>
        <v>118</v>
      </c>
      <c r="N97" s="39" t="str">
        <f>IFERROR(__xludf.DUMMYFUNCTION("""COMPUTED_VALUE"""),"Wisconsin")</f>
        <v>Wisconsin</v>
      </c>
      <c r="O97" s="39">
        <f>IFERROR(__xludf.DUMMYFUNCTION("""COMPUTED_VALUE"""),30.0)</f>
        <v>30</v>
      </c>
      <c r="P97" s="39">
        <f>IFERROR(__xludf.DUMMYFUNCTION("""COMPUTED_VALUE"""),60.0)</f>
        <v>60</v>
      </c>
      <c r="Q97" s="39">
        <f>IFERROR(__xludf.DUMMYFUNCTION("""COMPUTED_VALUE"""),90.0)</f>
        <v>90</v>
      </c>
      <c r="R97" s="39">
        <f>IFERROR(__xludf.DUMMYFUNCTION("""COMPUTED_VALUE"""),25.0)</f>
        <v>25</v>
      </c>
      <c r="S97" s="39">
        <f>IFERROR(__xludf.DUMMYFUNCTION("""COMPUTED_VALUE"""),68.0)</f>
        <v>68</v>
      </c>
      <c r="T97" s="39">
        <f>IFERROR(__xludf.DUMMYFUNCTION("""COMPUTED_VALUE"""),38.13559322033898)</f>
        <v>38.13559322</v>
      </c>
      <c r="U97" s="39">
        <f>IFERROR(__xludf.DUMMYFUNCTION("""COMPUTED_VALUE"""),2013.0)</f>
        <v>2013</v>
      </c>
      <c r="V97" s="39">
        <f>IFERROR(__xludf.DUMMYFUNCTION("""COMPUTED_VALUE"""),73.0)</f>
        <v>73</v>
      </c>
      <c r="W97" s="39"/>
      <c r="X97" s="39"/>
      <c r="Y97" s="39"/>
      <c r="Z97" s="39"/>
    </row>
    <row r="98">
      <c r="A98" s="48"/>
      <c r="B98" s="39"/>
      <c r="C98" s="40">
        <f>IFERROR(__xludf.DUMMYFUNCTION("""COMPUTED_VALUE"""),801.0)</f>
        <v>801</v>
      </c>
      <c r="D98" s="39">
        <f>IFERROR(__xludf.DUMMYFUNCTION("""COMPUTED_VALUE"""),49.0)</f>
        <v>49</v>
      </c>
      <c r="E98" s="46">
        <f>IFERROR(__xludf.DUMMYFUNCTION("""COMPUTED_VALUE"""),41548.0)</f>
        <v>41548</v>
      </c>
      <c r="F98" s="39" t="str">
        <f>IFERROR(__xludf.DUMMYFUNCTION("""COMPUTED_VALUE"""),"Small Market")</f>
        <v>Small Market</v>
      </c>
      <c r="G98" s="39" t="str">
        <f>IFERROR(__xludf.DUMMYFUNCTION("""COMPUTED_VALUE"""),"West")</f>
        <v>West</v>
      </c>
      <c r="H98" s="39">
        <f>IFERROR(__xludf.DUMMYFUNCTION("""COMPUTED_VALUE"""),15.0)</f>
        <v>15</v>
      </c>
      <c r="I98" s="39" t="str">
        <f>IFERROR(__xludf.DUMMYFUNCTION("""COMPUTED_VALUE"""),"Leaves")</f>
        <v>Leaves</v>
      </c>
      <c r="J98" s="39" t="str">
        <f>IFERROR(__xludf.DUMMYFUNCTION("""COMPUTED_VALUE"""),"Herbal Tea")</f>
        <v>Herbal Tea</v>
      </c>
      <c r="K98" s="39" t="str">
        <f>IFERROR(__xludf.DUMMYFUNCTION("""COMPUTED_VALUE"""),"Chamomile")</f>
        <v>Chamomile</v>
      </c>
      <c r="L98" s="39">
        <f>IFERROR(__xludf.DUMMYFUNCTION("""COMPUTED_VALUE"""),33.0)</f>
        <v>33</v>
      </c>
      <c r="M98" s="39">
        <f>IFERROR(__xludf.DUMMYFUNCTION("""COMPUTED_VALUE"""),120.0)</f>
        <v>120</v>
      </c>
      <c r="N98" s="39" t="str">
        <f>IFERROR(__xludf.DUMMYFUNCTION("""COMPUTED_VALUE"""),"Utah")</f>
        <v>Utah</v>
      </c>
      <c r="O98" s="39">
        <f>IFERROR(__xludf.DUMMYFUNCTION("""COMPUTED_VALUE"""),30.0)</f>
        <v>30</v>
      </c>
      <c r="P98" s="39">
        <f>IFERROR(__xludf.DUMMYFUNCTION("""COMPUTED_VALUE"""),60.0)</f>
        <v>60</v>
      </c>
      <c r="Q98" s="39">
        <f>IFERROR(__xludf.DUMMYFUNCTION("""COMPUTED_VALUE"""),90.0)</f>
        <v>90</v>
      </c>
      <c r="R98" s="39">
        <f>IFERROR(__xludf.DUMMYFUNCTION("""COMPUTED_VALUE"""),38.0)</f>
        <v>38</v>
      </c>
      <c r="S98" s="39">
        <f>IFERROR(__xludf.DUMMYFUNCTION("""COMPUTED_VALUE"""),83.0)</f>
        <v>83</v>
      </c>
      <c r="T98" s="39">
        <f>IFERROR(__xludf.DUMMYFUNCTION("""COMPUTED_VALUE"""),27.500000000000004)</f>
        <v>27.5</v>
      </c>
      <c r="U98" s="39">
        <f>IFERROR(__xludf.DUMMYFUNCTION("""COMPUTED_VALUE"""),2013.0)</f>
        <v>2013</v>
      </c>
      <c r="V98" s="39">
        <f>IFERROR(__xludf.DUMMYFUNCTION("""COMPUTED_VALUE"""),87.0)</f>
        <v>87</v>
      </c>
      <c r="W98" s="39"/>
      <c r="X98" s="39"/>
      <c r="Y98" s="39"/>
      <c r="Z98" s="39"/>
    </row>
    <row r="99">
      <c r="A99" s="48"/>
      <c r="B99" s="39"/>
      <c r="C99" s="40"/>
      <c r="D99" s="39"/>
      <c r="E99" s="39"/>
      <c r="F99" s="39"/>
      <c r="G99" s="39"/>
      <c r="H99" s="39"/>
      <c r="I99" s="39"/>
      <c r="J99" s="39"/>
      <c r="K99" s="39"/>
      <c r="L99" s="39"/>
      <c r="M99" s="39"/>
      <c r="N99" s="39"/>
      <c r="O99" s="39"/>
      <c r="P99" s="39"/>
      <c r="Q99" s="39"/>
      <c r="R99" s="39"/>
      <c r="S99" s="39"/>
      <c r="T99" s="39"/>
      <c r="U99" s="39"/>
      <c r="V99" s="39"/>
      <c r="W99" s="39"/>
      <c r="X99" s="39"/>
      <c r="Y99" s="39"/>
      <c r="Z99" s="39"/>
    </row>
    <row r="100">
      <c r="A100" s="55" t="s">
        <v>189</v>
      </c>
      <c r="B100" s="39"/>
      <c r="C100" s="40"/>
      <c r="D100" s="41" t="s">
        <v>190</v>
      </c>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55" t="s">
        <v>191</v>
      </c>
      <c r="B101" s="39"/>
      <c r="C101" s="49"/>
      <c r="D101" s="41" t="s">
        <v>192</v>
      </c>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60" t="s">
        <v>193</v>
      </c>
      <c r="B102" s="39"/>
      <c r="C102" s="49"/>
      <c r="D102" s="41" t="s">
        <v>194</v>
      </c>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60" t="s">
        <v>195</v>
      </c>
      <c r="B103" s="39"/>
      <c r="C103" s="40"/>
      <c r="D103" s="41" t="s">
        <v>196</v>
      </c>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61"/>
      <c r="B104" s="39"/>
      <c r="C104" s="40"/>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62" t="s">
        <v>197</v>
      </c>
      <c r="B105" s="43"/>
      <c r="C105" s="43"/>
      <c r="D105" s="44" t="s">
        <v>198</v>
      </c>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8"/>
      <c r="B106" s="39"/>
      <c r="C106" s="45" t="s">
        <v>199</v>
      </c>
      <c r="D106" s="48" t="s">
        <v>200</v>
      </c>
      <c r="E106" s="63" t="s">
        <v>201</v>
      </c>
      <c r="F106" s="39"/>
      <c r="G106" s="39"/>
      <c r="H106" s="39"/>
      <c r="I106" s="39"/>
      <c r="J106" s="39"/>
      <c r="K106" s="39"/>
      <c r="L106" s="39"/>
      <c r="M106" s="39"/>
      <c r="N106" s="39"/>
      <c r="O106" s="39"/>
      <c r="P106" s="39"/>
      <c r="Q106" s="39"/>
      <c r="R106" s="39"/>
      <c r="S106" s="39"/>
      <c r="T106" s="39"/>
      <c r="U106" s="39"/>
      <c r="V106" s="39"/>
      <c r="W106" s="39"/>
      <c r="X106" s="39"/>
      <c r="Y106" s="39"/>
      <c r="Z106" s="39"/>
    </row>
    <row r="107">
      <c r="A107" s="48"/>
      <c r="B107" s="39"/>
      <c r="C107" s="40">
        <v>970.0</v>
      </c>
      <c r="D107" s="39">
        <v>52.0</v>
      </c>
      <c r="E107" s="46">
        <v>41183.0</v>
      </c>
      <c r="F107" s="39"/>
      <c r="G107" s="39"/>
      <c r="H107" s="39"/>
      <c r="I107" s="39"/>
      <c r="J107" s="39"/>
      <c r="K107" s="39"/>
      <c r="L107" s="39"/>
      <c r="M107" s="39"/>
      <c r="N107" s="39"/>
      <c r="O107" s="39"/>
      <c r="P107" s="39"/>
      <c r="Q107" s="39"/>
      <c r="R107" s="39"/>
      <c r="S107" s="39"/>
      <c r="T107" s="39"/>
      <c r="U107" s="39"/>
      <c r="V107" s="39"/>
      <c r="W107" s="39"/>
      <c r="X107" s="39"/>
      <c r="Y107" s="39"/>
      <c r="Z107" s="39"/>
    </row>
    <row r="108">
      <c r="A108" s="48"/>
      <c r="B108" s="39"/>
      <c r="C108" s="40">
        <v>409.0</v>
      </c>
      <c r="D108" s="39">
        <v>43.0</v>
      </c>
      <c r="E108" s="46">
        <v>41183.0</v>
      </c>
      <c r="F108" s="39"/>
      <c r="G108" s="39"/>
      <c r="H108" s="39"/>
      <c r="I108" s="39"/>
      <c r="J108" s="39"/>
      <c r="K108" s="39"/>
      <c r="L108" s="39"/>
      <c r="M108" s="39"/>
      <c r="N108" s="39"/>
      <c r="O108" s="39"/>
      <c r="P108" s="39"/>
      <c r="Q108" s="39"/>
      <c r="R108" s="39"/>
      <c r="S108" s="39"/>
      <c r="T108" s="39"/>
      <c r="U108" s="39"/>
      <c r="V108" s="39"/>
      <c r="W108" s="39"/>
      <c r="X108" s="39"/>
      <c r="Y108" s="39"/>
      <c r="Z108" s="39"/>
    </row>
    <row r="109">
      <c r="A109" s="48"/>
      <c r="B109" s="39"/>
      <c r="C109" s="40"/>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53" t="s">
        <v>202</v>
      </c>
      <c r="B110" s="43"/>
      <c r="C110" s="43"/>
      <c r="D110" s="44" t="s">
        <v>203</v>
      </c>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8"/>
      <c r="B111" s="39"/>
      <c r="C111" s="40"/>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48"/>
      <c r="B112" s="39"/>
      <c r="C112" s="40"/>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48"/>
      <c r="B113" s="39"/>
      <c r="C113" s="40"/>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48"/>
      <c r="B114" s="39"/>
      <c r="C114" s="40"/>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48"/>
      <c r="B115" s="39"/>
      <c r="C115" s="40"/>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48"/>
      <c r="B116" s="39"/>
      <c r="C116" s="40"/>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48"/>
      <c r="B117" s="39"/>
      <c r="C117" s="40"/>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48"/>
      <c r="B118" s="39"/>
      <c r="C118" s="40"/>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48"/>
      <c r="B119" s="39"/>
      <c r="C119" s="40"/>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48"/>
      <c r="B120" s="39"/>
      <c r="C120" s="40"/>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48"/>
      <c r="B121" s="39"/>
      <c r="C121" s="40"/>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48"/>
      <c r="B122" s="39"/>
      <c r="C122" s="40"/>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48"/>
      <c r="B123" s="39"/>
      <c r="C123" s="40"/>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48"/>
      <c r="B124" s="39"/>
      <c r="C124" s="40"/>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48"/>
      <c r="B125" s="39"/>
      <c r="C125" s="40"/>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48"/>
      <c r="B126" s="39"/>
      <c r="C126" s="40"/>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48"/>
      <c r="B127" s="39"/>
      <c r="C127" s="40"/>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48"/>
      <c r="B128" s="39"/>
      <c r="C128" s="40"/>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48"/>
      <c r="B129" s="39"/>
      <c r="C129" s="40"/>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62" t="s">
        <v>204</v>
      </c>
      <c r="B130" s="43"/>
      <c r="C130" s="43"/>
      <c r="D130" s="44" t="s">
        <v>205</v>
      </c>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8"/>
      <c r="B131" s="39"/>
      <c r="C131" s="45" t="s">
        <v>199</v>
      </c>
      <c r="D131" s="48" t="s">
        <v>206</v>
      </c>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48"/>
      <c r="B132" s="39"/>
      <c r="C132" s="40">
        <v>970.0</v>
      </c>
      <c r="D132" s="39">
        <v>26.0</v>
      </c>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48"/>
      <c r="B133" s="39"/>
      <c r="C133" s="40">
        <v>409.0</v>
      </c>
      <c r="D133" s="39">
        <v>28.0</v>
      </c>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48"/>
      <c r="B134" s="39"/>
      <c r="C134" s="40">
        <v>850.0</v>
      </c>
      <c r="D134" s="39">
        <v>35.0</v>
      </c>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48"/>
      <c r="B135" s="39"/>
      <c r="C135" s="40">
        <v>562.0</v>
      </c>
      <c r="D135" s="39">
        <v>56.0</v>
      </c>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48"/>
      <c r="B136" s="39"/>
      <c r="C136" s="40">
        <v>712.0</v>
      </c>
      <c r="D136" s="39">
        <v>31.0</v>
      </c>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48"/>
      <c r="B137" s="39"/>
      <c r="C137" s="40"/>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53" t="s">
        <v>207</v>
      </c>
      <c r="B138" s="43"/>
      <c r="C138" s="43"/>
      <c r="D138" s="44" t="s">
        <v>208</v>
      </c>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8"/>
      <c r="B139" s="39"/>
      <c r="C139" s="45" t="s">
        <v>199</v>
      </c>
      <c r="D139" s="48" t="s">
        <v>206</v>
      </c>
      <c r="E139" s="38" t="s">
        <v>209</v>
      </c>
      <c r="F139" s="38" t="s">
        <v>210</v>
      </c>
      <c r="G139" s="39"/>
      <c r="H139" s="39"/>
      <c r="I139" s="39"/>
      <c r="J139" s="39"/>
      <c r="K139" s="39"/>
      <c r="L139" s="39"/>
      <c r="M139" s="39"/>
      <c r="N139" s="39"/>
      <c r="O139" s="39"/>
      <c r="P139" s="39"/>
      <c r="Q139" s="39"/>
      <c r="R139" s="39"/>
      <c r="S139" s="39"/>
      <c r="T139" s="39"/>
      <c r="U139" s="39"/>
      <c r="V139" s="39"/>
      <c r="W139" s="39"/>
      <c r="X139" s="39"/>
      <c r="Y139" s="39"/>
      <c r="Z139" s="39"/>
    </row>
    <row r="140">
      <c r="A140" s="48"/>
      <c r="B140" s="39"/>
      <c r="C140" s="40">
        <v>970.0</v>
      </c>
      <c r="D140" s="39">
        <v>26.0</v>
      </c>
      <c r="E140" s="41" t="s">
        <v>211</v>
      </c>
      <c r="F140" s="41" t="s">
        <v>212</v>
      </c>
      <c r="G140" s="39"/>
      <c r="H140" s="39"/>
      <c r="I140" s="39"/>
      <c r="J140" s="39"/>
      <c r="K140" s="39"/>
      <c r="L140" s="39"/>
      <c r="M140" s="39"/>
      <c r="N140" s="39"/>
      <c r="O140" s="39"/>
      <c r="P140" s="39"/>
      <c r="Q140" s="39"/>
      <c r="R140" s="39"/>
      <c r="S140" s="39"/>
      <c r="T140" s="39"/>
      <c r="U140" s="39"/>
      <c r="V140" s="39"/>
      <c r="W140" s="39"/>
      <c r="X140" s="39"/>
      <c r="Y140" s="39"/>
      <c r="Z140" s="39"/>
    </row>
    <row r="141">
      <c r="A141" s="48"/>
      <c r="B141" s="39"/>
      <c r="C141" s="40">
        <v>409.0</v>
      </c>
      <c r="D141" s="39">
        <v>28.0</v>
      </c>
      <c r="E141" s="41" t="s">
        <v>213</v>
      </c>
      <c r="F141" s="41" t="s">
        <v>214</v>
      </c>
      <c r="G141" s="39"/>
      <c r="H141" s="39"/>
      <c r="I141" s="39"/>
      <c r="J141" s="39"/>
      <c r="K141" s="39"/>
      <c r="L141" s="39"/>
      <c r="M141" s="39"/>
      <c r="N141" s="39"/>
      <c r="O141" s="39"/>
      <c r="P141" s="39"/>
      <c r="Q141" s="39"/>
      <c r="R141" s="39"/>
      <c r="S141" s="39"/>
      <c r="T141" s="39"/>
      <c r="U141" s="39"/>
      <c r="V141" s="39"/>
      <c r="W141" s="39"/>
      <c r="X141" s="39"/>
      <c r="Y141" s="39"/>
      <c r="Z141" s="39"/>
    </row>
    <row r="142">
      <c r="A142" s="48"/>
      <c r="B142" s="39"/>
      <c r="C142" s="40">
        <v>850.0</v>
      </c>
      <c r="D142" s="39">
        <v>35.0</v>
      </c>
      <c r="E142" s="41" t="s">
        <v>215</v>
      </c>
      <c r="F142" s="41" t="s">
        <v>216</v>
      </c>
      <c r="G142" s="39"/>
      <c r="H142" s="39"/>
      <c r="I142" s="39"/>
      <c r="J142" s="39"/>
      <c r="K142" s="39"/>
      <c r="L142" s="39"/>
      <c r="M142" s="39"/>
      <c r="N142" s="39"/>
      <c r="O142" s="39"/>
      <c r="P142" s="39"/>
      <c r="Q142" s="39"/>
      <c r="R142" s="39"/>
      <c r="S142" s="39"/>
      <c r="T142" s="39"/>
      <c r="U142" s="39"/>
      <c r="V142" s="39"/>
      <c r="W142" s="39"/>
      <c r="X142" s="39"/>
      <c r="Y142" s="39"/>
      <c r="Z142" s="39"/>
    </row>
    <row r="143">
      <c r="A143" s="48"/>
      <c r="B143" s="39"/>
      <c r="C143" s="40">
        <v>562.0</v>
      </c>
      <c r="D143" s="39">
        <v>56.0</v>
      </c>
      <c r="E143" s="41" t="s">
        <v>217</v>
      </c>
      <c r="F143" s="41" t="s">
        <v>218</v>
      </c>
      <c r="G143" s="39"/>
      <c r="H143" s="39"/>
      <c r="I143" s="39"/>
      <c r="J143" s="39"/>
      <c r="K143" s="39"/>
      <c r="L143" s="39"/>
      <c r="M143" s="39"/>
      <c r="N143" s="39"/>
      <c r="O143" s="39"/>
      <c r="P143" s="39"/>
      <c r="Q143" s="39"/>
      <c r="R143" s="39"/>
      <c r="S143" s="39"/>
      <c r="T143" s="39"/>
      <c r="U143" s="39"/>
      <c r="V143" s="39"/>
      <c r="W143" s="39"/>
      <c r="X143" s="39"/>
      <c r="Y143" s="39"/>
      <c r="Z143" s="39"/>
    </row>
    <row r="144">
      <c r="A144" s="48"/>
      <c r="B144" s="39"/>
      <c r="C144" s="40">
        <v>712.0</v>
      </c>
      <c r="D144" s="39">
        <v>31.0</v>
      </c>
      <c r="E144" s="41" t="s">
        <v>219</v>
      </c>
      <c r="F144" s="41" t="s">
        <v>220</v>
      </c>
      <c r="G144" s="39"/>
      <c r="H144" s="39"/>
      <c r="I144" s="39"/>
      <c r="J144" s="39"/>
      <c r="K144" s="39"/>
      <c r="L144" s="39"/>
      <c r="M144" s="39"/>
      <c r="N144" s="39"/>
      <c r="O144" s="39"/>
      <c r="P144" s="39"/>
      <c r="Q144" s="39"/>
      <c r="R144" s="39"/>
      <c r="S144" s="39"/>
      <c r="T144" s="39"/>
      <c r="U144" s="39"/>
      <c r="V144" s="39"/>
      <c r="W144" s="39"/>
      <c r="X144" s="39"/>
      <c r="Y144" s="39"/>
      <c r="Z144" s="39"/>
    </row>
    <row r="145">
      <c r="A145" s="48"/>
      <c r="B145" s="39"/>
      <c r="C145" s="40"/>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53" t="s">
        <v>221</v>
      </c>
      <c r="B146" s="43"/>
      <c r="C146" s="43"/>
      <c r="D146" s="44" t="s">
        <v>222</v>
      </c>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8"/>
      <c r="B147" s="39"/>
      <c r="C147" s="45" t="s">
        <v>223</v>
      </c>
      <c r="D147" s="48" t="s">
        <v>206</v>
      </c>
      <c r="E147" s="48" t="s">
        <v>224</v>
      </c>
      <c r="F147" s="39"/>
      <c r="G147" s="39"/>
      <c r="H147" s="39"/>
      <c r="I147" s="39"/>
      <c r="J147" s="39"/>
      <c r="K147" s="39"/>
      <c r="L147" s="39"/>
      <c r="M147" s="39"/>
      <c r="N147" s="39"/>
      <c r="O147" s="39"/>
      <c r="P147" s="39"/>
      <c r="Q147" s="39"/>
      <c r="R147" s="39"/>
      <c r="S147" s="39"/>
      <c r="T147" s="39"/>
      <c r="U147" s="39"/>
      <c r="V147" s="39"/>
      <c r="W147" s="39"/>
      <c r="X147" s="39"/>
      <c r="Y147" s="39"/>
      <c r="Z147" s="39"/>
    </row>
    <row r="148">
      <c r="A148" s="48"/>
      <c r="B148" s="39"/>
      <c r="C148" s="40" t="s">
        <v>110</v>
      </c>
      <c r="D148" s="39">
        <v>31.0</v>
      </c>
      <c r="E148" s="39">
        <v>43.0</v>
      </c>
      <c r="F148" s="39"/>
      <c r="G148" s="46"/>
      <c r="H148" s="39"/>
      <c r="I148" s="39"/>
      <c r="J148" s="39"/>
      <c r="K148" s="39"/>
      <c r="L148" s="39"/>
      <c r="M148" s="39"/>
      <c r="N148" s="39"/>
      <c r="O148" s="39"/>
      <c r="P148" s="39"/>
      <c r="Q148" s="39"/>
      <c r="R148" s="39"/>
      <c r="S148" s="39"/>
      <c r="T148" s="39"/>
      <c r="U148" s="39"/>
      <c r="V148" s="39"/>
      <c r="W148" s="39"/>
      <c r="X148" s="39"/>
      <c r="Y148" s="39"/>
      <c r="Z148" s="39"/>
    </row>
    <row r="149">
      <c r="A149" s="48"/>
      <c r="B149" s="39"/>
      <c r="C149" s="40" t="s">
        <v>110</v>
      </c>
      <c r="D149" s="39">
        <v>21.0</v>
      </c>
      <c r="E149" s="64">
        <v>111.0</v>
      </c>
      <c r="F149" s="39"/>
      <c r="G149" s="46"/>
      <c r="H149" s="39"/>
      <c r="I149" s="39"/>
      <c r="J149" s="39"/>
      <c r="K149" s="39"/>
      <c r="L149" s="39"/>
      <c r="M149" s="39"/>
      <c r="N149" s="39"/>
      <c r="O149" s="39"/>
      <c r="P149" s="39"/>
      <c r="Q149" s="39"/>
      <c r="R149" s="39"/>
      <c r="S149" s="39"/>
      <c r="T149" s="39"/>
      <c r="U149" s="39"/>
      <c r="V149" s="39"/>
      <c r="W149" s="39"/>
      <c r="X149" s="39"/>
      <c r="Y149" s="39"/>
      <c r="Z149" s="39"/>
    </row>
    <row r="150">
      <c r="A150" s="48"/>
      <c r="B150" s="39"/>
      <c r="C150" s="40" t="s">
        <v>225</v>
      </c>
      <c r="D150" s="39">
        <v>21.0</v>
      </c>
      <c r="E150" s="39">
        <v>66.0</v>
      </c>
      <c r="F150" s="39"/>
      <c r="G150" s="46"/>
      <c r="H150" s="39"/>
      <c r="I150" s="39"/>
      <c r="J150" s="39"/>
      <c r="K150" s="39"/>
      <c r="L150" s="39"/>
      <c r="M150" s="39"/>
      <c r="N150" s="39"/>
      <c r="O150" s="39"/>
      <c r="P150" s="39"/>
      <c r="Q150" s="39"/>
      <c r="R150" s="39"/>
      <c r="S150" s="39"/>
      <c r="T150" s="39"/>
      <c r="U150" s="39"/>
      <c r="V150" s="39"/>
      <c r="W150" s="39"/>
      <c r="X150" s="39"/>
      <c r="Y150" s="39"/>
      <c r="Z150" s="39"/>
    </row>
    <row r="151">
      <c r="A151" s="48"/>
      <c r="B151" s="39"/>
      <c r="C151" s="40" t="s">
        <v>225</v>
      </c>
      <c r="D151" s="39">
        <v>7.0</v>
      </c>
      <c r="E151" s="39">
        <v>68.0</v>
      </c>
      <c r="F151" s="39"/>
      <c r="G151" s="46"/>
      <c r="H151" s="39"/>
      <c r="I151" s="39"/>
      <c r="J151" s="39"/>
      <c r="K151" s="39"/>
      <c r="L151" s="39"/>
      <c r="M151" s="39"/>
      <c r="N151" s="39"/>
      <c r="O151" s="39"/>
      <c r="P151" s="39"/>
      <c r="Q151" s="39"/>
      <c r="R151" s="39"/>
      <c r="S151" s="39"/>
      <c r="T151" s="39"/>
      <c r="U151" s="39"/>
      <c r="V151" s="39"/>
      <c r="W151" s="39"/>
      <c r="X151" s="39"/>
      <c r="Y151" s="39"/>
      <c r="Z151" s="39"/>
    </row>
    <row r="152">
      <c r="A152" s="48"/>
      <c r="B152" s="39"/>
      <c r="C152" s="40" t="s">
        <v>110</v>
      </c>
      <c r="D152" s="39">
        <v>37.0</v>
      </c>
      <c r="E152" s="39">
        <v>99.0</v>
      </c>
      <c r="F152" s="39"/>
      <c r="G152" s="39"/>
      <c r="H152" s="39"/>
      <c r="I152" s="39"/>
      <c r="J152" s="39"/>
      <c r="K152" s="39"/>
      <c r="L152" s="39"/>
      <c r="M152" s="39"/>
      <c r="N152" s="39"/>
      <c r="O152" s="39"/>
      <c r="P152" s="39"/>
      <c r="Q152" s="39"/>
      <c r="R152" s="39"/>
      <c r="S152" s="39"/>
      <c r="T152" s="39"/>
      <c r="U152" s="39"/>
      <c r="V152" s="39"/>
      <c r="W152" s="39"/>
      <c r="X152" s="39"/>
      <c r="Y152" s="39"/>
      <c r="Z152" s="39"/>
    </row>
    <row r="153">
      <c r="A153" s="48"/>
      <c r="B153" s="39"/>
      <c r="C153" s="40" t="s">
        <v>226</v>
      </c>
      <c r="D153" s="39">
        <v>1.0</v>
      </c>
      <c r="E153" s="39">
        <v>144.0</v>
      </c>
      <c r="F153" s="39"/>
      <c r="G153" s="39"/>
      <c r="H153" s="39"/>
      <c r="I153" s="39"/>
      <c r="J153" s="39"/>
      <c r="K153" s="39"/>
      <c r="L153" s="39"/>
      <c r="M153" s="39"/>
      <c r="N153" s="39"/>
      <c r="O153" s="39"/>
      <c r="P153" s="39"/>
      <c r="Q153" s="39"/>
      <c r="R153" s="39"/>
      <c r="S153" s="39"/>
      <c r="T153" s="39"/>
      <c r="U153" s="39"/>
      <c r="V153" s="39"/>
      <c r="W153" s="39"/>
      <c r="X153" s="39"/>
      <c r="Y153" s="39"/>
      <c r="Z153" s="39"/>
    </row>
    <row r="154">
      <c r="A154" s="48"/>
      <c r="B154" s="39"/>
      <c r="C154" s="40" t="s">
        <v>226</v>
      </c>
      <c r="D154" s="39">
        <v>12.0</v>
      </c>
      <c r="E154" s="39">
        <v>120.0</v>
      </c>
      <c r="F154" s="39"/>
      <c r="G154" s="39"/>
      <c r="H154" s="39"/>
      <c r="I154" s="39"/>
      <c r="J154" s="39"/>
      <c r="K154" s="39"/>
      <c r="L154" s="39"/>
      <c r="M154" s="39"/>
      <c r="N154" s="39"/>
      <c r="O154" s="39"/>
      <c r="P154" s="39"/>
      <c r="Q154" s="39"/>
      <c r="R154" s="39"/>
      <c r="S154" s="39"/>
      <c r="T154" s="39"/>
      <c r="U154" s="39"/>
      <c r="V154" s="39"/>
      <c r="W154" s="39"/>
      <c r="X154" s="39"/>
      <c r="Y154" s="39"/>
      <c r="Z154" s="39"/>
    </row>
    <row r="155">
      <c r="A155" s="48"/>
      <c r="B155" s="39"/>
      <c r="C155" s="40" t="s">
        <v>227</v>
      </c>
      <c r="D155" s="39">
        <v>45.0</v>
      </c>
      <c r="E155" s="39">
        <v>118.0</v>
      </c>
      <c r="F155" s="39"/>
      <c r="G155" s="39"/>
      <c r="H155" s="39"/>
      <c r="I155" s="39"/>
      <c r="J155" s="39"/>
      <c r="K155" s="39"/>
      <c r="L155" s="39"/>
      <c r="M155" s="39"/>
      <c r="N155" s="39"/>
      <c r="O155" s="39"/>
      <c r="P155" s="39"/>
      <c r="Q155" s="39"/>
      <c r="R155" s="39"/>
      <c r="S155" s="39"/>
      <c r="T155" s="39"/>
      <c r="U155" s="39"/>
      <c r="V155" s="39"/>
      <c r="W155" s="39"/>
      <c r="X155" s="39"/>
      <c r="Y155" s="39"/>
      <c r="Z155" s="39"/>
    </row>
    <row r="156">
      <c r="A156" s="48"/>
      <c r="B156" s="39"/>
      <c r="C156" s="40" t="s">
        <v>227</v>
      </c>
      <c r="D156" s="39">
        <v>28.0</v>
      </c>
      <c r="E156" s="39">
        <v>107.0</v>
      </c>
      <c r="F156" s="39"/>
      <c r="G156" s="39"/>
      <c r="H156" s="39"/>
      <c r="I156" s="39"/>
      <c r="J156" s="39"/>
      <c r="K156" s="39"/>
      <c r="L156" s="39"/>
      <c r="M156" s="39"/>
      <c r="N156" s="39"/>
      <c r="O156" s="39"/>
      <c r="P156" s="39"/>
      <c r="Q156" s="39"/>
      <c r="R156" s="39"/>
      <c r="S156" s="39"/>
      <c r="T156" s="39"/>
      <c r="U156" s="39"/>
      <c r="V156" s="39"/>
      <c r="W156" s="39"/>
      <c r="X156" s="39"/>
      <c r="Y156" s="39"/>
      <c r="Z156" s="39"/>
    </row>
    <row r="157">
      <c r="A157" s="48"/>
      <c r="B157" s="39"/>
      <c r="C157" s="40"/>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53" t="s">
        <v>228</v>
      </c>
      <c r="B158" s="43"/>
      <c r="C158" s="43"/>
      <c r="D158" s="44" t="s">
        <v>229</v>
      </c>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8"/>
      <c r="B159" s="39"/>
      <c r="C159" s="40"/>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48"/>
      <c r="B160" s="39"/>
      <c r="C160" s="40"/>
      <c r="D160" s="39"/>
      <c r="E160" s="39"/>
      <c r="F160" s="39"/>
      <c r="G160" s="46"/>
      <c r="H160" s="39"/>
      <c r="I160" s="39"/>
      <c r="J160" s="39"/>
      <c r="K160" s="39"/>
      <c r="L160" s="39"/>
      <c r="M160" s="39"/>
      <c r="N160" s="39"/>
      <c r="O160" s="39"/>
      <c r="P160" s="39"/>
      <c r="Q160" s="39"/>
      <c r="R160" s="39"/>
      <c r="S160" s="39"/>
      <c r="T160" s="39"/>
      <c r="U160" s="39"/>
      <c r="V160" s="39"/>
      <c r="W160" s="39"/>
      <c r="X160" s="39"/>
      <c r="Y160" s="39"/>
      <c r="Z160" s="39"/>
    </row>
    <row r="161">
      <c r="A161" s="48"/>
      <c r="B161" s="39"/>
      <c r="C161" s="40"/>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48"/>
      <c r="B162" s="39"/>
      <c r="C162" s="40"/>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48"/>
      <c r="B163" s="39"/>
      <c r="C163" s="40"/>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48"/>
      <c r="B164" s="39"/>
      <c r="C164" s="40"/>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48"/>
      <c r="B165" s="39"/>
      <c r="C165" s="40"/>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48"/>
      <c r="B166" s="39"/>
      <c r="C166" s="40"/>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48"/>
      <c r="B167" s="39"/>
      <c r="C167" s="40"/>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48"/>
      <c r="B168" s="39"/>
      <c r="C168" s="40"/>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48"/>
      <c r="B169" s="39"/>
      <c r="C169" s="40"/>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48"/>
      <c r="B170" s="39"/>
      <c r="C170" s="40"/>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48"/>
      <c r="B171" s="39"/>
      <c r="C171" s="40"/>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48"/>
      <c r="B172" s="39"/>
      <c r="C172" s="40"/>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48"/>
      <c r="B173" s="39"/>
      <c r="C173" s="40"/>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48"/>
      <c r="B174" s="39"/>
      <c r="C174" s="40"/>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48"/>
      <c r="B175" s="39"/>
      <c r="C175" s="40"/>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48"/>
      <c r="B176" s="39"/>
      <c r="C176" s="40"/>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48"/>
      <c r="B177" s="39"/>
      <c r="C177" s="40"/>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48"/>
      <c r="B178" s="39"/>
      <c r="C178" s="40"/>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48"/>
      <c r="B179" s="39"/>
      <c r="C179" s="40"/>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53" t="s">
        <v>230</v>
      </c>
      <c r="B180" s="43"/>
      <c r="C180" s="43"/>
      <c r="D180" s="44" t="s">
        <v>231</v>
      </c>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8"/>
      <c r="B181" s="39"/>
      <c r="C181" s="45" t="s">
        <v>199</v>
      </c>
      <c r="D181" s="65" t="s">
        <v>201</v>
      </c>
      <c r="E181" s="38" t="s">
        <v>232</v>
      </c>
      <c r="F181" s="39"/>
      <c r="G181" s="39"/>
      <c r="H181" s="39"/>
      <c r="I181" s="39"/>
      <c r="J181" s="39"/>
      <c r="K181" s="39"/>
      <c r="L181" s="39"/>
      <c r="M181" s="39"/>
      <c r="N181" s="39"/>
      <c r="O181" s="39"/>
      <c r="P181" s="39"/>
      <c r="Q181" s="39"/>
      <c r="R181" s="39"/>
      <c r="S181" s="39"/>
      <c r="T181" s="39"/>
      <c r="U181" s="39"/>
      <c r="V181" s="39"/>
      <c r="W181" s="39"/>
      <c r="X181" s="39"/>
      <c r="Y181" s="39"/>
      <c r="Z181" s="39"/>
    </row>
    <row r="182">
      <c r="A182" s="48"/>
      <c r="B182" s="39"/>
      <c r="C182" s="40">
        <v>303.0</v>
      </c>
      <c r="D182" s="28">
        <v>40909.0</v>
      </c>
      <c r="E182" s="64">
        <f t="shared" ref="E182:E184" si="1">YEAR(D182)</f>
        <v>2012</v>
      </c>
      <c r="F182" s="39"/>
      <c r="G182" s="39"/>
      <c r="H182" s="39"/>
      <c r="I182" s="39"/>
      <c r="J182" s="39"/>
      <c r="K182" s="39"/>
      <c r="L182" s="39"/>
      <c r="M182" s="39"/>
      <c r="N182" s="39"/>
      <c r="O182" s="39"/>
      <c r="P182" s="39"/>
      <c r="Q182" s="39"/>
      <c r="R182" s="39"/>
      <c r="S182" s="39"/>
      <c r="T182" s="39"/>
      <c r="U182" s="39"/>
      <c r="V182" s="39"/>
      <c r="W182" s="39"/>
      <c r="X182" s="39"/>
      <c r="Y182" s="39"/>
      <c r="Z182" s="39"/>
    </row>
    <row r="183">
      <c r="A183" s="48"/>
      <c r="B183" s="39"/>
      <c r="C183" s="40">
        <v>970.0</v>
      </c>
      <c r="D183" s="28">
        <v>40909.0</v>
      </c>
      <c r="E183" s="64">
        <f t="shared" si="1"/>
        <v>2012</v>
      </c>
      <c r="F183" s="39"/>
      <c r="G183" s="39"/>
      <c r="H183" s="39"/>
      <c r="I183" s="39"/>
      <c r="J183" s="39"/>
      <c r="K183" s="39"/>
      <c r="L183" s="39"/>
      <c r="M183" s="39"/>
      <c r="N183" s="39"/>
      <c r="O183" s="39"/>
      <c r="P183" s="39"/>
      <c r="Q183" s="39"/>
      <c r="R183" s="39"/>
      <c r="S183" s="39"/>
      <c r="T183" s="39"/>
      <c r="U183" s="39"/>
      <c r="V183" s="39"/>
      <c r="W183" s="39"/>
      <c r="X183" s="39"/>
      <c r="Y183" s="39"/>
      <c r="Z183" s="39"/>
    </row>
    <row r="184">
      <c r="A184" s="48"/>
      <c r="B184" s="39"/>
      <c r="C184" s="40">
        <v>409.0</v>
      </c>
      <c r="D184" s="28">
        <v>40940.0</v>
      </c>
      <c r="E184" s="64">
        <f t="shared" si="1"/>
        <v>2012</v>
      </c>
      <c r="F184" s="39"/>
      <c r="G184" s="39"/>
      <c r="H184" s="39"/>
      <c r="I184" s="39"/>
      <c r="J184" s="39"/>
      <c r="K184" s="39"/>
      <c r="L184" s="39"/>
      <c r="M184" s="39"/>
      <c r="N184" s="39"/>
      <c r="O184" s="39"/>
      <c r="P184" s="39"/>
      <c r="Q184" s="39"/>
      <c r="R184" s="39"/>
      <c r="S184" s="39"/>
      <c r="T184" s="39"/>
      <c r="U184" s="39"/>
      <c r="V184" s="39"/>
      <c r="W184" s="39"/>
      <c r="X184" s="39"/>
      <c r="Y184" s="39"/>
      <c r="Z184" s="39"/>
    </row>
    <row r="185">
      <c r="A185" s="48"/>
      <c r="B185" s="39"/>
      <c r="C185" s="40"/>
      <c r="D185" s="28"/>
      <c r="E185" s="64"/>
      <c r="F185" s="39"/>
      <c r="G185" s="39"/>
      <c r="H185" s="39"/>
      <c r="I185" s="39"/>
      <c r="J185" s="39"/>
      <c r="K185" s="39"/>
      <c r="L185" s="39"/>
      <c r="M185" s="39"/>
      <c r="N185" s="39"/>
      <c r="O185" s="39"/>
      <c r="P185" s="39"/>
      <c r="Q185" s="39"/>
      <c r="R185" s="39"/>
      <c r="S185" s="39"/>
      <c r="T185" s="39"/>
      <c r="U185" s="39"/>
      <c r="V185" s="39"/>
      <c r="W185" s="39"/>
      <c r="X185" s="39"/>
      <c r="Y185" s="39"/>
      <c r="Z185" s="39"/>
    </row>
    <row r="186">
      <c r="A186" s="48"/>
      <c r="B186" s="39"/>
      <c r="C186" s="45" t="s">
        <v>199</v>
      </c>
      <c r="D186" s="65" t="s">
        <v>201</v>
      </c>
      <c r="E186" s="38" t="s">
        <v>232</v>
      </c>
      <c r="F186" s="39"/>
      <c r="G186" s="39"/>
      <c r="H186" s="39"/>
      <c r="I186" s="39"/>
      <c r="J186" s="39"/>
      <c r="K186" s="39"/>
      <c r="L186" s="39"/>
      <c r="M186" s="39"/>
      <c r="N186" s="39"/>
      <c r="O186" s="39"/>
      <c r="P186" s="39"/>
      <c r="Q186" s="39"/>
      <c r="R186" s="39"/>
      <c r="S186" s="39"/>
      <c r="T186" s="39"/>
      <c r="U186" s="39"/>
      <c r="V186" s="39"/>
      <c r="W186" s="39"/>
      <c r="X186" s="39"/>
      <c r="Y186" s="39"/>
      <c r="Z186" s="39"/>
    </row>
    <row r="187">
      <c r="A187" s="48"/>
      <c r="B187" s="39"/>
      <c r="C187" s="40">
        <v>850.0</v>
      </c>
      <c r="D187" s="28">
        <v>40940.0</v>
      </c>
      <c r="E187" s="64">
        <f t="shared" ref="E187:E189" si="2">YEAR(D187)</f>
        <v>2012</v>
      </c>
      <c r="F187" s="39"/>
      <c r="G187" s="39"/>
      <c r="H187" s="39"/>
      <c r="I187" s="39"/>
      <c r="J187" s="39"/>
      <c r="K187" s="39"/>
      <c r="L187" s="39"/>
      <c r="M187" s="39"/>
      <c r="N187" s="39"/>
      <c r="O187" s="39"/>
      <c r="P187" s="39"/>
      <c r="Q187" s="39"/>
      <c r="R187" s="39"/>
      <c r="S187" s="39"/>
      <c r="T187" s="39"/>
      <c r="U187" s="39"/>
      <c r="V187" s="39"/>
      <c r="W187" s="39"/>
      <c r="X187" s="39"/>
      <c r="Y187" s="39"/>
      <c r="Z187" s="39"/>
    </row>
    <row r="188">
      <c r="A188" s="48"/>
      <c r="B188" s="39"/>
      <c r="C188" s="40">
        <v>562.0</v>
      </c>
      <c r="D188" s="28">
        <v>40940.0</v>
      </c>
      <c r="E188" s="64">
        <f t="shared" si="2"/>
        <v>2012</v>
      </c>
      <c r="F188" s="39"/>
      <c r="G188" s="39"/>
      <c r="H188" s="39"/>
      <c r="I188" s="39"/>
      <c r="J188" s="39"/>
      <c r="K188" s="39"/>
      <c r="L188" s="39"/>
      <c r="M188" s="39"/>
      <c r="N188" s="39"/>
      <c r="O188" s="39"/>
      <c r="P188" s="39"/>
      <c r="Q188" s="39"/>
      <c r="R188" s="39"/>
      <c r="S188" s="39"/>
      <c r="T188" s="39"/>
      <c r="U188" s="39"/>
      <c r="V188" s="39"/>
      <c r="W188" s="39"/>
      <c r="X188" s="39"/>
      <c r="Y188" s="39"/>
      <c r="Z188" s="39"/>
    </row>
    <row r="189">
      <c r="A189" s="48"/>
      <c r="B189" s="39"/>
      <c r="C189" s="40">
        <v>712.0</v>
      </c>
      <c r="D189" s="28">
        <v>40969.0</v>
      </c>
      <c r="E189" s="64">
        <f t="shared" si="2"/>
        <v>2012</v>
      </c>
      <c r="F189" s="39"/>
      <c r="G189" s="39"/>
      <c r="H189" s="39"/>
      <c r="I189" s="39"/>
      <c r="J189" s="39"/>
      <c r="K189" s="39"/>
      <c r="L189" s="39"/>
      <c r="M189" s="39"/>
      <c r="N189" s="39"/>
      <c r="O189" s="39"/>
      <c r="P189" s="39"/>
      <c r="Q189" s="39"/>
      <c r="R189" s="39"/>
      <c r="S189" s="39"/>
      <c r="T189" s="39"/>
      <c r="U189" s="39"/>
      <c r="V189" s="39"/>
      <c r="W189" s="39"/>
      <c r="X189" s="39"/>
      <c r="Y189" s="39"/>
      <c r="Z189" s="39"/>
    </row>
    <row r="190">
      <c r="A190" s="48"/>
      <c r="B190" s="39"/>
      <c r="C190" s="40"/>
      <c r="D190" s="28"/>
      <c r="E190" s="64"/>
      <c r="F190" s="39"/>
      <c r="G190" s="39"/>
      <c r="H190" s="39"/>
      <c r="I190" s="39"/>
      <c r="J190" s="39"/>
      <c r="K190" s="39"/>
      <c r="L190" s="39"/>
      <c r="M190" s="39"/>
      <c r="N190" s="39"/>
      <c r="O190" s="39"/>
      <c r="P190" s="39"/>
      <c r="Q190" s="39"/>
      <c r="R190" s="39"/>
      <c r="S190" s="39"/>
      <c r="T190" s="39"/>
      <c r="U190" s="39"/>
      <c r="V190" s="39"/>
      <c r="W190" s="39"/>
      <c r="X190" s="39"/>
      <c r="Y190" s="39"/>
      <c r="Z190" s="39"/>
    </row>
    <row r="191">
      <c r="A191" s="48"/>
      <c r="B191" s="39"/>
      <c r="C191" s="45" t="s">
        <v>199</v>
      </c>
      <c r="D191" s="65" t="s">
        <v>201</v>
      </c>
      <c r="E191" s="38" t="s">
        <v>232</v>
      </c>
      <c r="F191" s="39"/>
      <c r="G191" s="39"/>
      <c r="H191" s="39"/>
      <c r="I191" s="39"/>
      <c r="J191" s="39"/>
      <c r="K191" s="39"/>
      <c r="L191" s="39"/>
      <c r="M191" s="39"/>
      <c r="N191" s="39"/>
      <c r="O191" s="39"/>
      <c r="P191" s="39"/>
      <c r="Q191" s="39"/>
      <c r="R191" s="39"/>
      <c r="S191" s="39"/>
      <c r="T191" s="39"/>
      <c r="U191" s="39"/>
      <c r="V191" s="39"/>
      <c r="W191" s="39"/>
      <c r="X191" s="39"/>
      <c r="Y191" s="39"/>
      <c r="Z191" s="39"/>
    </row>
    <row r="192">
      <c r="A192" s="48"/>
      <c r="B192" s="39"/>
      <c r="C192" s="40">
        <v>860.0</v>
      </c>
      <c r="D192" s="28">
        <v>40969.0</v>
      </c>
      <c r="E192" s="64">
        <f t="shared" ref="E192:E195" si="3">YEAR(D192)</f>
        <v>2012</v>
      </c>
      <c r="F192" s="39"/>
      <c r="G192" s="39"/>
      <c r="H192" s="39"/>
      <c r="I192" s="39"/>
      <c r="J192" s="39"/>
      <c r="K192" s="39"/>
      <c r="L192" s="39"/>
      <c r="M192" s="39"/>
      <c r="N192" s="39"/>
      <c r="O192" s="39"/>
      <c r="P192" s="39"/>
      <c r="Q192" s="39"/>
      <c r="R192" s="39"/>
      <c r="S192" s="39"/>
      <c r="T192" s="39"/>
      <c r="U192" s="39"/>
      <c r="V192" s="39"/>
      <c r="W192" s="39"/>
      <c r="X192" s="39"/>
      <c r="Y192" s="39"/>
      <c r="Z192" s="39"/>
    </row>
    <row r="193">
      <c r="A193" s="48"/>
      <c r="B193" s="39"/>
      <c r="C193" s="40">
        <v>918.0</v>
      </c>
      <c r="D193" s="28">
        <v>41334.0</v>
      </c>
      <c r="E193" s="64">
        <f t="shared" si="3"/>
        <v>2013</v>
      </c>
      <c r="F193" s="39"/>
      <c r="G193" s="39"/>
      <c r="H193" s="39"/>
      <c r="I193" s="39"/>
      <c r="J193" s="39"/>
      <c r="K193" s="39"/>
      <c r="L193" s="39"/>
      <c r="M193" s="39"/>
      <c r="N193" s="39"/>
      <c r="O193" s="39"/>
      <c r="P193" s="39"/>
      <c r="Q193" s="39"/>
      <c r="R193" s="39"/>
      <c r="S193" s="39"/>
      <c r="T193" s="39"/>
      <c r="U193" s="39"/>
      <c r="V193" s="39"/>
      <c r="W193" s="39"/>
      <c r="X193" s="39"/>
      <c r="Y193" s="39"/>
      <c r="Z193" s="39"/>
    </row>
    <row r="194">
      <c r="A194" s="48"/>
      <c r="B194" s="39"/>
      <c r="C194" s="40">
        <v>775.0</v>
      </c>
      <c r="D194" s="28">
        <v>41334.0</v>
      </c>
      <c r="E194" s="64">
        <f t="shared" si="3"/>
        <v>2013</v>
      </c>
      <c r="F194" s="39"/>
      <c r="G194" s="39"/>
      <c r="H194" s="39"/>
      <c r="I194" s="39"/>
      <c r="J194" s="39"/>
      <c r="K194" s="39"/>
      <c r="L194" s="39"/>
      <c r="M194" s="39"/>
      <c r="N194" s="39"/>
      <c r="O194" s="39"/>
      <c r="P194" s="39"/>
      <c r="Q194" s="39"/>
      <c r="R194" s="39"/>
      <c r="S194" s="39"/>
      <c r="T194" s="39"/>
      <c r="U194" s="39"/>
      <c r="V194" s="39"/>
      <c r="W194" s="39"/>
      <c r="X194" s="39"/>
      <c r="Y194" s="39"/>
      <c r="Z194" s="39"/>
    </row>
    <row r="195">
      <c r="A195" s="48"/>
      <c r="B195" s="39"/>
      <c r="C195" s="40">
        <v>435.0</v>
      </c>
      <c r="D195" s="28">
        <v>41426.0</v>
      </c>
      <c r="E195" s="64">
        <f t="shared" si="3"/>
        <v>2013</v>
      </c>
      <c r="F195" s="39"/>
      <c r="G195" s="39"/>
      <c r="H195" s="39"/>
      <c r="I195" s="39"/>
      <c r="J195" s="39"/>
      <c r="K195" s="39"/>
      <c r="L195" s="39"/>
      <c r="M195" s="39"/>
      <c r="N195" s="39"/>
      <c r="O195" s="39"/>
      <c r="P195" s="39"/>
      <c r="Q195" s="39"/>
      <c r="R195" s="39"/>
      <c r="S195" s="39"/>
      <c r="T195" s="39"/>
      <c r="U195" s="39"/>
      <c r="V195" s="39"/>
      <c r="W195" s="39"/>
      <c r="X195" s="39"/>
      <c r="Y195" s="39"/>
      <c r="Z195" s="39"/>
    </row>
    <row r="196">
      <c r="A196" s="48"/>
      <c r="B196" s="39"/>
      <c r="C196" s="40"/>
      <c r="D196" s="28"/>
      <c r="E196" s="64"/>
      <c r="F196" s="39"/>
      <c r="G196" s="39"/>
      <c r="H196" s="39"/>
      <c r="I196" s="39"/>
      <c r="J196" s="39"/>
      <c r="K196" s="39"/>
      <c r="L196" s="39"/>
      <c r="M196" s="39"/>
      <c r="N196" s="39"/>
      <c r="O196" s="39"/>
      <c r="P196" s="39"/>
      <c r="Q196" s="39"/>
      <c r="R196" s="39"/>
      <c r="S196" s="39"/>
      <c r="T196" s="39"/>
      <c r="U196" s="39"/>
      <c r="V196" s="39"/>
      <c r="W196" s="39"/>
      <c r="X196" s="39"/>
      <c r="Y196" s="39"/>
      <c r="Z196" s="39"/>
    </row>
    <row r="197">
      <c r="A197" s="48"/>
      <c r="B197" s="39"/>
      <c r="C197" s="45" t="s">
        <v>199</v>
      </c>
      <c r="D197" s="65" t="s">
        <v>201</v>
      </c>
      <c r="E197" s="38" t="s">
        <v>232</v>
      </c>
      <c r="F197" s="39"/>
      <c r="G197" s="39"/>
      <c r="H197" s="39"/>
      <c r="I197" s="39"/>
      <c r="J197" s="39"/>
      <c r="K197" s="39"/>
      <c r="L197" s="39"/>
      <c r="M197" s="39"/>
      <c r="N197" s="39"/>
      <c r="O197" s="39"/>
      <c r="P197" s="39"/>
      <c r="Q197" s="39"/>
      <c r="R197" s="39"/>
      <c r="S197" s="39"/>
      <c r="T197" s="39"/>
      <c r="U197" s="39"/>
      <c r="V197" s="39"/>
      <c r="W197" s="39"/>
      <c r="X197" s="39"/>
      <c r="Y197" s="39"/>
      <c r="Z197" s="39"/>
    </row>
    <row r="198">
      <c r="A198" s="48"/>
      <c r="B198" s="39"/>
      <c r="C198" s="40">
        <v>603.0</v>
      </c>
      <c r="D198" s="28">
        <v>41456.0</v>
      </c>
      <c r="E198" s="64">
        <f t="shared" ref="E198:E201" si="4">YEAR(D198)</f>
        <v>2013</v>
      </c>
      <c r="F198" s="39"/>
      <c r="G198" s="39"/>
      <c r="H198" s="39"/>
      <c r="I198" s="39"/>
      <c r="J198" s="39"/>
      <c r="K198" s="39"/>
      <c r="L198" s="39"/>
      <c r="M198" s="39"/>
      <c r="N198" s="39"/>
      <c r="O198" s="39"/>
      <c r="P198" s="39"/>
      <c r="Q198" s="39"/>
      <c r="R198" s="39"/>
      <c r="S198" s="39"/>
      <c r="T198" s="39"/>
      <c r="U198" s="39"/>
      <c r="V198" s="39"/>
      <c r="W198" s="39"/>
      <c r="X198" s="39"/>
      <c r="Y198" s="39"/>
      <c r="Z198" s="39"/>
    </row>
    <row r="199">
      <c r="A199" s="48"/>
      <c r="B199" s="39"/>
      <c r="C199" s="40">
        <v>603.0</v>
      </c>
      <c r="D199" s="28">
        <v>41456.0</v>
      </c>
      <c r="E199" s="64">
        <f t="shared" si="4"/>
        <v>2013</v>
      </c>
      <c r="F199" s="39"/>
      <c r="G199" s="39"/>
      <c r="H199" s="39"/>
      <c r="I199" s="39"/>
      <c r="J199" s="39"/>
      <c r="K199" s="39"/>
      <c r="L199" s="39"/>
      <c r="M199" s="39"/>
      <c r="N199" s="39"/>
      <c r="O199" s="39"/>
      <c r="P199" s="39"/>
      <c r="Q199" s="39"/>
      <c r="R199" s="39"/>
      <c r="S199" s="39"/>
      <c r="T199" s="39"/>
      <c r="U199" s="39"/>
      <c r="V199" s="39"/>
      <c r="W199" s="39"/>
      <c r="X199" s="39"/>
      <c r="Y199" s="39"/>
      <c r="Z199" s="39"/>
    </row>
    <row r="200">
      <c r="A200" s="48"/>
      <c r="B200" s="39"/>
      <c r="C200" s="40">
        <v>603.0</v>
      </c>
      <c r="D200" s="28">
        <v>41487.0</v>
      </c>
      <c r="E200" s="64">
        <f t="shared" si="4"/>
        <v>2013</v>
      </c>
      <c r="F200" s="39"/>
      <c r="G200" s="39"/>
      <c r="H200" s="39"/>
      <c r="I200" s="39"/>
      <c r="J200" s="39"/>
      <c r="K200" s="39"/>
      <c r="L200" s="39"/>
      <c r="M200" s="39"/>
      <c r="N200" s="39"/>
      <c r="O200" s="39"/>
      <c r="P200" s="39"/>
      <c r="Q200" s="39"/>
      <c r="R200" s="39"/>
      <c r="S200" s="39"/>
      <c r="T200" s="39"/>
      <c r="U200" s="39"/>
      <c r="V200" s="39"/>
      <c r="W200" s="39"/>
      <c r="X200" s="39"/>
      <c r="Y200" s="39"/>
      <c r="Z200" s="39"/>
    </row>
    <row r="201">
      <c r="A201" s="48"/>
      <c r="B201" s="39"/>
      <c r="C201" s="40">
        <v>318.0</v>
      </c>
      <c r="D201" s="28">
        <v>41487.0</v>
      </c>
      <c r="E201" s="64">
        <f t="shared" si="4"/>
        <v>2013</v>
      </c>
      <c r="F201" s="39"/>
      <c r="G201" s="39"/>
      <c r="H201" s="39"/>
      <c r="I201" s="39"/>
      <c r="J201" s="39"/>
      <c r="K201" s="39"/>
      <c r="L201" s="39"/>
      <c r="M201" s="39"/>
      <c r="N201" s="39"/>
      <c r="O201" s="39"/>
      <c r="P201" s="39"/>
      <c r="Q201" s="39"/>
      <c r="R201" s="39"/>
      <c r="S201" s="39"/>
      <c r="T201" s="39"/>
      <c r="U201" s="39"/>
      <c r="V201" s="39"/>
      <c r="W201" s="39"/>
      <c r="X201" s="39"/>
      <c r="Y201" s="39"/>
      <c r="Z201" s="39"/>
    </row>
    <row r="202">
      <c r="A202" s="48"/>
      <c r="B202" s="39"/>
      <c r="C202" s="40"/>
      <c r="D202" s="28"/>
      <c r="E202" s="64"/>
      <c r="F202" s="39"/>
      <c r="G202" s="39"/>
      <c r="H202" s="39"/>
      <c r="I202" s="39"/>
      <c r="J202" s="39"/>
      <c r="K202" s="39"/>
      <c r="L202" s="39"/>
      <c r="M202" s="39"/>
      <c r="N202" s="39"/>
      <c r="O202" s="39"/>
      <c r="P202" s="39"/>
      <c r="Q202" s="39"/>
      <c r="R202" s="39"/>
      <c r="S202" s="39"/>
      <c r="T202" s="39"/>
      <c r="U202" s="39"/>
      <c r="V202" s="39"/>
      <c r="W202" s="39"/>
      <c r="X202" s="39"/>
      <c r="Y202" s="39"/>
      <c r="Z202" s="39"/>
    </row>
    <row r="203">
      <c r="A203" s="48"/>
      <c r="B203" s="39"/>
      <c r="C203" s="45" t="s">
        <v>199</v>
      </c>
      <c r="D203" s="65" t="s">
        <v>201</v>
      </c>
      <c r="E203" s="38" t="s">
        <v>232</v>
      </c>
      <c r="F203" s="39"/>
      <c r="G203" s="39"/>
      <c r="H203" s="39"/>
      <c r="I203" s="39"/>
      <c r="J203" s="39"/>
      <c r="K203" s="39"/>
      <c r="L203" s="39"/>
      <c r="M203" s="39"/>
      <c r="N203" s="39"/>
      <c r="O203" s="39"/>
      <c r="P203" s="39"/>
      <c r="Q203" s="39"/>
      <c r="R203" s="39"/>
      <c r="S203" s="39"/>
      <c r="T203" s="39"/>
      <c r="U203" s="39"/>
      <c r="V203" s="39"/>
      <c r="W203" s="39"/>
      <c r="X203" s="39"/>
      <c r="Y203" s="39"/>
      <c r="Z203" s="39"/>
    </row>
    <row r="204">
      <c r="A204" s="48"/>
      <c r="B204" s="39"/>
      <c r="C204" s="40">
        <v>775.0</v>
      </c>
      <c r="D204" s="28">
        <v>41548.0</v>
      </c>
      <c r="E204" s="64">
        <f t="shared" ref="E204:E208" si="5">YEAR(D204)</f>
        <v>2013</v>
      </c>
      <c r="F204" s="39"/>
      <c r="G204" s="39"/>
      <c r="H204" s="39"/>
      <c r="I204" s="39"/>
      <c r="J204" s="39"/>
      <c r="K204" s="39"/>
      <c r="L204" s="39"/>
      <c r="M204" s="39"/>
      <c r="N204" s="39"/>
      <c r="O204" s="39"/>
      <c r="P204" s="39"/>
      <c r="Q204" s="39"/>
      <c r="R204" s="39"/>
      <c r="S204" s="39"/>
      <c r="T204" s="39"/>
      <c r="U204" s="39"/>
      <c r="V204" s="39"/>
      <c r="W204" s="39"/>
      <c r="X204" s="39"/>
      <c r="Y204" s="39"/>
      <c r="Z204" s="39"/>
    </row>
    <row r="205">
      <c r="A205" s="48"/>
      <c r="B205" s="39"/>
      <c r="C205" s="40">
        <v>503.0</v>
      </c>
      <c r="D205" s="28">
        <v>41548.0</v>
      </c>
      <c r="E205" s="64">
        <f t="shared" si="5"/>
        <v>2013</v>
      </c>
      <c r="F205" s="39"/>
      <c r="G205" s="39"/>
      <c r="H205" s="39"/>
      <c r="I205" s="39"/>
      <c r="J205" s="39"/>
      <c r="K205" s="39"/>
      <c r="L205" s="39"/>
      <c r="M205" s="39"/>
      <c r="N205" s="39"/>
      <c r="O205" s="39"/>
      <c r="P205" s="39"/>
      <c r="Q205" s="39"/>
      <c r="R205" s="39"/>
      <c r="S205" s="39"/>
      <c r="T205" s="39"/>
      <c r="U205" s="39"/>
      <c r="V205" s="39"/>
      <c r="W205" s="39"/>
      <c r="X205" s="39"/>
      <c r="Y205" s="39"/>
      <c r="Z205" s="39"/>
    </row>
    <row r="206">
      <c r="A206" s="48"/>
      <c r="B206" s="39"/>
      <c r="C206" s="40">
        <v>573.0</v>
      </c>
      <c r="D206" s="28">
        <v>41548.0</v>
      </c>
      <c r="E206" s="64">
        <f t="shared" si="5"/>
        <v>2013</v>
      </c>
      <c r="F206" s="39"/>
      <c r="G206" s="39"/>
      <c r="H206" s="39"/>
      <c r="I206" s="39"/>
      <c r="J206" s="39"/>
      <c r="K206" s="39"/>
      <c r="L206" s="39"/>
      <c r="M206" s="39"/>
      <c r="N206" s="39"/>
      <c r="O206" s="39"/>
      <c r="P206" s="39"/>
      <c r="Q206" s="39"/>
      <c r="R206" s="39"/>
      <c r="S206" s="39"/>
      <c r="T206" s="39"/>
      <c r="U206" s="39"/>
      <c r="V206" s="39"/>
      <c r="W206" s="39"/>
      <c r="X206" s="39"/>
      <c r="Y206" s="39"/>
      <c r="Z206" s="39"/>
    </row>
    <row r="207">
      <c r="A207" s="48"/>
      <c r="B207" s="39"/>
      <c r="C207" s="40">
        <v>262.0</v>
      </c>
      <c r="D207" s="28">
        <v>41548.0</v>
      </c>
      <c r="E207" s="64">
        <f t="shared" si="5"/>
        <v>2013</v>
      </c>
      <c r="F207" s="39"/>
      <c r="G207" s="39"/>
      <c r="H207" s="39"/>
      <c r="I207" s="39"/>
      <c r="J207" s="39"/>
      <c r="K207" s="39"/>
      <c r="L207" s="39"/>
      <c r="M207" s="39"/>
      <c r="N207" s="39"/>
      <c r="O207" s="39"/>
      <c r="P207" s="39"/>
      <c r="Q207" s="39"/>
      <c r="R207" s="39"/>
      <c r="S207" s="39"/>
      <c r="T207" s="39"/>
      <c r="U207" s="39"/>
      <c r="V207" s="39"/>
      <c r="W207" s="39"/>
      <c r="X207" s="39"/>
      <c r="Y207" s="39"/>
      <c r="Z207" s="39"/>
    </row>
    <row r="208">
      <c r="A208" s="48"/>
      <c r="B208" s="39"/>
      <c r="C208" s="40">
        <v>801.0</v>
      </c>
      <c r="D208" s="28">
        <v>41548.0</v>
      </c>
      <c r="E208" s="64">
        <f t="shared" si="5"/>
        <v>2013</v>
      </c>
      <c r="F208" s="39"/>
      <c r="G208" s="39"/>
      <c r="H208" s="39"/>
      <c r="I208" s="39"/>
      <c r="J208" s="39"/>
      <c r="K208" s="39"/>
      <c r="L208" s="39"/>
      <c r="M208" s="39"/>
      <c r="N208" s="39"/>
      <c r="O208" s="39"/>
      <c r="P208" s="39"/>
      <c r="Q208" s="39"/>
      <c r="R208" s="39"/>
      <c r="S208" s="39"/>
      <c r="T208" s="39"/>
      <c r="U208" s="39"/>
      <c r="V208" s="39"/>
      <c r="W208" s="39"/>
      <c r="X208" s="39"/>
      <c r="Y208" s="39"/>
      <c r="Z208" s="39"/>
    </row>
    <row r="209">
      <c r="A209" s="48"/>
      <c r="B209" s="39"/>
      <c r="C209" s="40"/>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48"/>
      <c r="B210" s="39"/>
      <c r="C210" s="40"/>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48"/>
      <c r="B211" s="39"/>
      <c r="C211" s="40"/>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48"/>
      <c r="B212" s="39"/>
      <c r="C212" s="40"/>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48"/>
      <c r="B213" s="39"/>
      <c r="C213" s="40"/>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48"/>
      <c r="B214" s="39"/>
      <c r="C214" s="40"/>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48"/>
      <c r="B215" s="39"/>
      <c r="C215" s="40"/>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48"/>
      <c r="B216" s="39"/>
      <c r="C216" s="40"/>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48"/>
      <c r="B217" s="39"/>
      <c r="C217" s="40"/>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48"/>
      <c r="B218" s="39"/>
      <c r="C218" s="40"/>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48"/>
      <c r="B219" s="39"/>
      <c r="C219" s="40"/>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48"/>
      <c r="B220" s="39"/>
      <c r="C220" s="40"/>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48"/>
      <c r="B221" s="39"/>
      <c r="C221" s="40"/>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48"/>
      <c r="B222" s="39"/>
      <c r="C222" s="40"/>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48"/>
      <c r="B223" s="39"/>
      <c r="C223" s="40"/>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48"/>
      <c r="B224" s="39"/>
      <c r="C224" s="40"/>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48"/>
      <c r="B225" s="39"/>
      <c r="C225" s="40"/>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48"/>
      <c r="B226" s="39"/>
      <c r="C226" s="40"/>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48"/>
      <c r="B227" s="39"/>
      <c r="C227" s="40"/>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48"/>
      <c r="B228" s="39"/>
      <c r="C228" s="40"/>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48"/>
      <c r="B229" s="39"/>
      <c r="C229" s="40"/>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48"/>
      <c r="B230" s="39"/>
      <c r="C230" s="40"/>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48"/>
      <c r="B231" s="39"/>
      <c r="C231" s="40"/>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48"/>
      <c r="B232" s="39"/>
      <c r="C232" s="40"/>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48"/>
      <c r="B233" s="39"/>
      <c r="C233" s="40"/>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48"/>
      <c r="B234" s="39"/>
      <c r="C234" s="40"/>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48"/>
      <c r="B235" s="39"/>
      <c r="C235" s="40"/>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48"/>
      <c r="B236" s="39"/>
      <c r="C236" s="40"/>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48"/>
      <c r="B237" s="39"/>
      <c r="C237" s="40"/>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48"/>
      <c r="B238" s="39"/>
      <c r="C238" s="40"/>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48"/>
      <c r="B239" s="39"/>
      <c r="C239" s="40"/>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48"/>
      <c r="B240" s="39"/>
      <c r="C240" s="40"/>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48"/>
      <c r="B241" s="39"/>
      <c r="C241" s="40"/>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48"/>
      <c r="B242" s="39"/>
      <c r="C242" s="40"/>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48"/>
      <c r="B243" s="39"/>
      <c r="C243" s="40"/>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48"/>
      <c r="B244" s="39"/>
      <c r="C244" s="40"/>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48"/>
      <c r="B245" s="39"/>
      <c r="C245" s="40"/>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48"/>
      <c r="B246" s="39"/>
      <c r="C246" s="40"/>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48"/>
      <c r="B247" s="39"/>
      <c r="C247" s="40"/>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48"/>
      <c r="B248" s="39"/>
      <c r="C248" s="40"/>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48"/>
      <c r="B249" s="39"/>
      <c r="C249" s="40"/>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48"/>
      <c r="B250" s="39"/>
      <c r="C250" s="40"/>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48"/>
      <c r="B251" s="39"/>
      <c r="C251" s="40"/>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48"/>
      <c r="B252" s="39"/>
      <c r="C252" s="40"/>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48"/>
      <c r="B253" s="39"/>
      <c r="C253" s="40"/>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48"/>
      <c r="B254" s="39"/>
      <c r="C254" s="40"/>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48"/>
      <c r="B255" s="39"/>
      <c r="C255" s="40"/>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48"/>
      <c r="B256" s="39"/>
      <c r="C256" s="40"/>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48"/>
      <c r="B257" s="39"/>
      <c r="C257" s="40"/>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48"/>
      <c r="B258" s="39"/>
      <c r="C258" s="40"/>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48"/>
      <c r="B259" s="39"/>
      <c r="C259" s="40"/>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48"/>
      <c r="B260" s="39"/>
      <c r="C260" s="40"/>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48"/>
      <c r="B261" s="39"/>
      <c r="C261" s="40"/>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48"/>
      <c r="B262" s="39"/>
      <c r="C262" s="40"/>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48"/>
      <c r="B263" s="39"/>
      <c r="C263" s="40"/>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48"/>
      <c r="B264" s="39"/>
      <c r="C264" s="40"/>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48"/>
      <c r="B265" s="39"/>
      <c r="C265" s="40"/>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48"/>
      <c r="B266" s="39"/>
      <c r="C266" s="40"/>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48"/>
      <c r="B267" s="39"/>
      <c r="C267" s="40"/>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48"/>
      <c r="B268" s="39"/>
      <c r="C268" s="40"/>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48"/>
      <c r="B269" s="39"/>
      <c r="C269" s="40"/>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48"/>
      <c r="B270" s="39"/>
      <c r="C270" s="40"/>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48"/>
      <c r="B271" s="39"/>
      <c r="C271" s="40"/>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48"/>
      <c r="B272" s="39"/>
      <c r="C272" s="40"/>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48"/>
      <c r="B273" s="39"/>
      <c r="C273" s="40"/>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48"/>
      <c r="B274" s="39"/>
      <c r="C274" s="40"/>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48"/>
      <c r="B275" s="39"/>
      <c r="C275" s="40"/>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48"/>
      <c r="B276" s="39"/>
      <c r="C276" s="40"/>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48"/>
      <c r="B277" s="39"/>
      <c r="C277" s="40"/>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48"/>
      <c r="B278" s="39"/>
      <c r="C278" s="40"/>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48"/>
      <c r="B279" s="39"/>
      <c r="C279" s="40"/>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48"/>
      <c r="B280" s="39"/>
      <c r="C280" s="40"/>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48"/>
      <c r="B281" s="39"/>
      <c r="C281" s="40"/>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48"/>
      <c r="B282" s="39"/>
      <c r="C282" s="40"/>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48"/>
      <c r="B283" s="39"/>
      <c r="C283" s="40"/>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48"/>
      <c r="B284" s="39"/>
      <c r="C284" s="40"/>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48"/>
      <c r="B285" s="39"/>
      <c r="C285" s="40"/>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48"/>
      <c r="B286" s="39"/>
      <c r="C286" s="40"/>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48"/>
      <c r="B287" s="39"/>
      <c r="C287" s="40"/>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48"/>
      <c r="B288" s="39"/>
      <c r="C288" s="40"/>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48"/>
      <c r="B289" s="39"/>
      <c r="C289" s="40"/>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48"/>
      <c r="B290" s="39"/>
      <c r="C290" s="40"/>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48"/>
      <c r="B291" s="39"/>
      <c r="C291" s="40"/>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48"/>
      <c r="B292" s="39"/>
      <c r="C292" s="40"/>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48"/>
      <c r="B293" s="39"/>
      <c r="C293" s="40"/>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48"/>
      <c r="B294" s="39"/>
      <c r="C294" s="40"/>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48"/>
      <c r="B295" s="39"/>
      <c r="C295" s="40"/>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48"/>
      <c r="B296" s="39"/>
      <c r="C296" s="40"/>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48"/>
      <c r="B297" s="39"/>
      <c r="C297" s="40"/>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48"/>
      <c r="B298" s="39"/>
      <c r="C298" s="40"/>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48"/>
      <c r="B299" s="39"/>
      <c r="C299" s="40"/>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48"/>
      <c r="B300" s="39"/>
      <c r="C300" s="40"/>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48"/>
      <c r="B301" s="39"/>
      <c r="C301" s="40"/>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48"/>
      <c r="B302" s="39"/>
      <c r="C302" s="40"/>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48"/>
      <c r="B303" s="39"/>
      <c r="C303" s="40"/>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48"/>
      <c r="B304" s="39"/>
      <c r="C304" s="40"/>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48"/>
      <c r="B305" s="39"/>
      <c r="C305" s="40"/>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48"/>
      <c r="B306" s="39"/>
      <c r="C306" s="40"/>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48"/>
      <c r="B307" s="39"/>
      <c r="C307" s="40"/>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48"/>
      <c r="B308" s="39"/>
      <c r="C308" s="40"/>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48"/>
      <c r="B309" s="39"/>
      <c r="C309" s="40"/>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48"/>
      <c r="B310" s="39"/>
      <c r="C310" s="40"/>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48"/>
      <c r="B311" s="39"/>
      <c r="C311" s="40"/>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48"/>
      <c r="B312" s="39"/>
      <c r="C312" s="40"/>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48"/>
      <c r="B313" s="39"/>
      <c r="C313" s="40"/>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48"/>
      <c r="B314" s="39"/>
      <c r="C314" s="40"/>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48"/>
      <c r="B315" s="39"/>
      <c r="C315" s="40"/>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48"/>
      <c r="B316" s="39"/>
      <c r="C316" s="40"/>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48"/>
      <c r="B317" s="39"/>
      <c r="C317" s="40"/>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48"/>
      <c r="B318" s="39"/>
      <c r="C318" s="40"/>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48"/>
      <c r="B319" s="39"/>
      <c r="C319" s="40"/>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48"/>
      <c r="B320" s="39"/>
      <c r="C320" s="40"/>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48"/>
      <c r="B321" s="39"/>
      <c r="C321" s="40"/>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48"/>
      <c r="B322" s="39"/>
      <c r="C322" s="40"/>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48"/>
      <c r="B323" s="39"/>
      <c r="C323" s="40"/>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48"/>
      <c r="B324" s="39"/>
      <c r="C324" s="40"/>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48"/>
      <c r="B325" s="39"/>
      <c r="C325" s="40"/>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48"/>
      <c r="B326" s="39"/>
      <c r="C326" s="40"/>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48"/>
      <c r="B327" s="39"/>
      <c r="C327" s="40"/>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48"/>
      <c r="B328" s="39"/>
      <c r="C328" s="40"/>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48"/>
      <c r="B329" s="39"/>
      <c r="C329" s="40"/>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48"/>
      <c r="B330" s="39"/>
      <c r="C330" s="40"/>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48"/>
      <c r="B331" s="39"/>
      <c r="C331" s="40"/>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48"/>
      <c r="B332" s="39"/>
      <c r="C332" s="40"/>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48"/>
      <c r="B333" s="39"/>
      <c r="C333" s="40"/>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48"/>
      <c r="B334" s="39"/>
      <c r="C334" s="40"/>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48"/>
      <c r="B335" s="39"/>
      <c r="C335" s="40"/>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48"/>
      <c r="B336" s="39"/>
      <c r="C336" s="40"/>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48"/>
      <c r="B337" s="39"/>
      <c r="C337" s="40"/>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48"/>
      <c r="B338" s="39"/>
      <c r="C338" s="40"/>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48"/>
      <c r="B339" s="39"/>
      <c r="C339" s="40"/>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48"/>
      <c r="B340" s="39"/>
      <c r="C340" s="40"/>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48"/>
      <c r="B341" s="39"/>
      <c r="C341" s="40"/>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48"/>
      <c r="B342" s="39"/>
      <c r="C342" s="40"/>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48"/>
      <c r="B343" s="39"/>
      <c r="C343" s="40"/>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48"/>
      <c r="B344" s="39"/>
      <c r="C344" s="40"/>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48"/>
      <c r="B345" s="39"/>
      <c r="C345" s="40"/>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48"/>
      <c r="B346" s="39"/>
      <c r="C346" s="40"/>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48"/>
      <c r="B347" s="39"/>
      <c r="C347" s="40"/>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48"/>
      <c r="B348" s="39"/>
      <c r="C348" s="40"/>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48"/>
      <c r="B349" s="39"/>
      <c r="C349" s="40"/>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48"/>
      <c r="B350" s="39"/>
      <c r="C350" s="40"/>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48"/>
      <c r="B351" s="39"/>
      <c r="C351" s="40"/>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48"/>
      <c r="B352" s="39"/>
      <c r="C352" s="40"/>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48"/>
      <c r="B353" s="39"/>
      <c r="C353" s="40"/>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48"/>
      <c r="B354" s="39"/>
      <c r="C354" s="40"/>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48"/>
      <c r="B355" s="39"/>
      <c r="C355" s="40"/>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48"/>
      <c r="B356" s="39"/>
      <c r="C356" s="40"/>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48"/>
      <c r="B357" s="39"/>
      <c r="C357" s="40"/>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48"/>
      <c r="B358" s="39"/>
      <c r="C358" s="40"/>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48"/>
      <c r="B359" s="39"/>
      <c r="C359" s="40"/>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48"/>
      <c r="B360" s="39"/>
      <c r="C360" s="40"/>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48"/>
      <c r="B361" s="39"/>
      <c r="C361" s="40"/>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48"/>
      <c r="B362" s="39"/>
      <c r="C362" s="40"/>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48"/>
      <c r="B363" s="39"/>
      <c r="C363" s="40"/>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48"/>
      <c r="B364" s="39"/>
      <c r="C364" s="40"/>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48"/>
      <c r="B365" s="39"/>
      <c r="C365" s="40"/>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48"/>
      <c r="B366" s="39"/>
      <c r="C366" s="40"/>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48"/>
      <c r="B367" s="39"/>
      <c r="C367" s="40"/>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48"/>
      <c r="B368" s="39"/>
      <c r="C368" s="40"/>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48"/>
      <c r="B369" s="39"/>
      <c r="C369" s="40"/>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48"/>
      <c r="B370" s="39"/>
      <c r="C370" s="40"/>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48"/>
      <c r="B371" s="39"/>
      <c r="C371" s="40"/>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48"/>
      <c r="B372" s="39"/>
      <c r="C372" s="40"/>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48"/>
      <c r="B373" s="39"/>
      <c r="C373" s="40"/>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48"/>
      <c r="B374" s="39"/>
      <c r="C374" s="40"/>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48"/>
      <c r="B375" s="39"/>
      <c r="C375" s="40"/>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48"/>
      <c r="B376" s="39"/>
      <c r="C376" s="40"/>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48"/>
      <c r="B377" s="39"/>
      <c r="C377" s="40"/>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48"/>
      <c r="B378" s="39"/>
      <c r="C378" s="40"/>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48"/>
      <c r="B379" s="39"/>
      <c r="C379" s="40"/>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48"/>
      <c r="B380" s="39"/>
      <c r="C380" s="40"/>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48"/>
      <c r="B381" s="39"/>
      <c r="C381" s="40"/>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48"/>
      <c r="B382" s="39"/>
      <c r="C382" s="40"/>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48"/>
      <c r="B383" s="39"/>
      <c r="C383" s="40"/>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48"/>
      <c r="B384" s="39"/>
      <c r="C384" s="40"/>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48"/>
      <c r="B385" s="39"/>
      <c r="C385" s="40"/>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48"/>
      <c r="B386" s="39"/>
      <c r="C386" s="40"/>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48"/>
      <c r="B387" s="39"/>
      <c r="C387" s="40"/>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48"/>
      <c r="B388" s="39"/>
      <c r="C388" s="40"/>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48"/>
      <c r="B389" s="39"/>
      <c r="C389" s="40"/>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48"/>
      <c r="B390" s="39"/>
      <c r="C390" s="40"/>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48"/>
      <c r="B391" s="39"/>
      <c r="C391" s="40"/>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48"/>
      <c r="B392" s="39"/>
      <c r="C392" s="40"/>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48"/>
      <c r="B393" s="39"/>
      <c r="C393" s="40"/>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48"/>
      <c r="B394" s="39"/>
      <c r="C394" s="40"/>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48"/>
      <c r="B395" s="39"/>
      <c r="C395" s="40"/>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48"/>
      <c r="B396" s="39"/>
      <c r="C396" s="40"/>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48"/>
      <c r="B397" s="39"/>
      <c r="C397" s="40"/>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48"/>
      <c r="B398" s="39"/>
      <c r="C398" s="40"/>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48"/>
      <c r="B399" s="39"/>
      <c r="C399" s="40"/>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48"/>
      <c r="B400" s="39"/>
      <c r="C400" s="40"/>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48"/>
      <c r="B401" s="39"/>
      <c r="C401" s="40"/>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48"/>
      <c r="B402" s="39"/>
      <c r="C402" s="40"/>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48"/>
      <c r="B403" s="39"/>
      <c r="C403" s="40"/>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48"/>
      <c r="B404" s="39"/>
      <c r="C404" s="40"/>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48"/>
      <c r="B405" s="39"/>
      <c r="C405" s="40"/>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48"/>
      <c r="B406" s="39"/>
      <c r="C406" s="40"/>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48"/>
      <c r="B407" s="39"/>
      <c r="C407" s="40"/>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48"/>
      <c r="B408" s="39"/>
      <c r="C408" s="40"/>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48"/>
      <c r="B409" s="39"/>
      <c r="C409" s="40"/>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48"/>
      <c r="B410" s="39"/>
      <c r="C410" s="40"/>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48"/>
      <c r="B411" s="39"/>
      <c r="C411" s="40"/>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48"/>
      <c r="B412" s="39"/>
      <c r="C412" s="40"/>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48"/>
      <c r="B413" s="39"/>
      <c r="C413" s="40"/>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48"/>
      <c r="B414" s="39"/>
      <c r="C414" s="40"/>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48"/>
      <c r="B415" s="39"/>
      <c r="C415" s="40"/>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48"/>
      <c r="B416" s="39"/>
      <c r="C416" s="40"/>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48"/>
      <c r="B417" s="39"/>
      <c r="C417" s="40"/>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48"/>
      <c r="B418" s="39"/>
      <c r="C418" s="40"/>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48"/>
      <c r="B419" s="39"/>
      <c r="C419" s="40"/>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48"/>
      <c r="B420" s="39"/>
      <c r="C420" s="40"/>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48"/>
      <c r="B421" s="39"/>
      <c r="C421" s="40"/>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48"/>
      <c r="B422" s="39"/>
      <c r="C422" s="40"/>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48"/>
      <c r="B423" s="39"/>
      <c r="C423" s="40"/>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48"/>
      <c r="B424" s="39"/>
      <c r="C424" s="40"/>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48"/>
      <c r="B425" s="39"/>
      <c r="C425" s="40"/>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48"/>
      <c r="B426" s="39"/>
      <c r="C426" s="40"/>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48"/>
      <c r="B427" s="39"/>
      <c r="C427" s="40"/>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48"/>
      <c r="B428" s="39"/>
      <c r="C428" s="40"/>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48"/>
      <c r="B429" s="39"/>
      <c r="C429" s="40"/>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48"/>
      <c r="B430" s="39"/>
      <c r="C430" s="40"/>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48"/>
      <c r="B431" s="39"/>
      <c r="C431" s="40"/>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48"/>
      <c r="B432" s="39"/>
      <c r="C432" s="40"/>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48"/>
      <c r="B433" s="39"/>
      <c r="C433" s="40"/>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48"/>
      <c r="B434" s="39"/>
      <c r="C434" s="40"/>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48"/>
      <c r="B435" s="39"/>
      <c r="C435" s="40"/>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48"/>
      <c r="B436" s="39"/>
      <c r="C436" s="40"/>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48"/>
      <c r="B437" s="39"/>
      <c r="C437" s="40"/>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48"/>
      <c r="B438" s="39"/>
      <c r="C438" s="40"/>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48"/>
      <c r="B439" s="39"/>
      <c r="C439" s="40"/>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48"/>
      <c r="B440" s="39"/>
      <c r="C440" s="40"/>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48"/>
      <c r="B441" s="39"/>
      <c r="C441" s="40"/>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48"/>
      <c r="B442" s="39"/>
      <c r="C442" s="40"/>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48"/>
      <c r="B443" s="39"/>
      <c r="C443" s="40"/>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48"/>
      <c r="B444" s="39"/>
      <c r="C444" s="40"/>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48"/>
      <c r="B445" s="39"/>
      <c r="C445" s="40"/>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48"/>
      <c r="B446" s="39"/>
      <c r="C446" s="40"/>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48"/>
      <c r="B447" s="39"/>
      <c r="C447" s="40"/>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48"/>
      <c r="B448" s="39"/>
      <c r="C448" s="40"/>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48"/>
      <c r="B449" s="39"/>
      <c r="C449" s="40"/>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48"/>
      <c r="B450" s="39"/>
      <c r="C450" s="40"/>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48"/>
      <c r="B451" s="39"/>
      <c r="C451" s="40"/>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48"/>
      <c r="B452" s="39"/>
      <c r="C452" s="40"/>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48"/>
      <c r="B453" s="39"/>
      <c r="C453" s="40"/>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48"/>
      <c r="B454" s="39"/>
      <c r="C454" s="40"/>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48"/>
      <c r="B455" s="39"/>
      <c r="C455" s="40"/>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48"/>
      <c r="B456" s="39"/>
      <c r="C456" s="40"/>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48"/>
      <c r="B457" s="39"/>
      <c r="C457" s="40"/>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48"/>
      <c r="B458" s="39"/>
      <c r="C458" s="40"/>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48"/>
      <c r="B459" s="39"/>
      <c r="C459" s="40"/>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48"/>
      <c r="B460" s="39"/>
      <c r="C460" s="40"/>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48"/>
      <c r="B461" s="39"/>
      <c r="C461" s="40"/>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48"/>
      <c r="B462" s="39"/>
      <c r="C462" s="40"/>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48"/>
      <c r="B463" s="39"/>
      <c r="C463" s="40"/>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48"/>
      <c r="B464" s="39"/>
      <c r="C464" s="40"/>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48"/>
      <c r="B465" s="39"/>
      <c r="C465" s="40"/>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48"/>
      <c r="B466" s="39"/>
      <c r="C466" s="40"/>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48"/>
      <c r="B467" s="39"/>
      <c r="C467" s="40"/>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48"/>
      <c r="B468" s="39"/>
      <c r="C468" s="40"/>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48"/>
      <c r="B469" s="39"/>
      <c r="C469" s="40"/>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48"/>
      <c r="B470" s="39"/>
      <c r="C470" s="40"/>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48"/>
      <c r="B471" s="39"/>
      <c r="C471" s="40"/>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48"/>
      <c r="B472" s="39"/>
      <c r="C472" s="40"/>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48"/>
      <c r="B473" s="39"/>
      <c r="C473" s="40"/>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48"/>
      <c r="B474" s="39"/>
      <c r="C474" s="40"/>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48"/>
      <c r="B475" s="39"/>
      <c r="C475" s="40"/>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48"/>
      <c r="B476" s="39"/>
      <c r="C476" s="40"/>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48"/>
      <c r="B477" s="39"/>
      <c r="C477" s="40"/>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48"/>
      <c r="B478" s="39"/>
      <c r="C478" s="40"/>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48"/>
      <c r="B479" s="39"/>
      <c r="C479" s="40"/>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48"/>
      <c r="B480" s="39"/>
      <c r="C480" s="40"/>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48"/>
      <c r="B481" s="39"/>
      <c r="C481" s="40"/>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48"/>
      <c r="B482" s="39"/>
      <c r="C482" s="40"/>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48"/>
      <c r="B483" s="39"/>
      <c r="C483" s="40"/>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48"/>
      <c r="B484" s="39"/>
      <c r="C484" s="40"/>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48"/>
      <c r="B485" s="39"/>
      <c r="C485" s="40"/>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48"/>
      <c r="B486" s="39"/>
      <c r="C486" s="40"/>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48"/>
      <c r="B487" s="39"/>
      <c r="C487" s="40"/>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48"/>
      <c r="B488" s="39"/>
      <c r="C488" s="40"/>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48"/>
      <c r="B489" s="39"/>
      <c r="C489" s="40"/>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48"/>
      <c r="B490" s="39"/>
      <c r="C490" s="40"/>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48"/>
      <c r="B491" s="39"/>
      <c r="C491" s="40"/>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48"/>
      <c r="B492" s="39"/>
      <c r="C492" s="40"/>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48"/>
      <c r="B493" s="39"/>
      <c r="C493" s="40"/>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48"/>
      <c r="B494" s="39"/>
      <c r="C494" s="40"/>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48"/>
      <c r="B495" s="39"/>
      <c r="C495" s="40"/>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48"/>
      <c r="B496" s="39"/>
      <c r="C496" s="40"/>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48"/>
      <c r="B497" s="39"/>
      <c r="C497" s="40"/>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48"/>
      <c r="B498" s="39"/>
      <c r="C498" s="40"/>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48"/>
      <c r="B499" s="39"/>
      <c r="C499" s="40"/>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48"/>
      <c r="B500" s="39"/>
      <c r="C500" s="40"/>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48"/>
      <c r="B501" s="39"/>
      <c r="C501" s="40"/>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48"/>
      <c r="B502" s="39"/>
      <c r="C502" s="40"/>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48"/>
      <c r="B503" s="39"/>
      <c r="C503" s="40"/>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48"/>
      <c r="B504" s="39"/>
      <c r="C504" s="40"/>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48"/>
      <c r="B505" s="39"/>
      <c r="C505" s="40"/>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48"/>
      <c r="B506" s="39"/>
      <c r="C506" s="40"/>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48"/>
      <c r="B507" s="39"/>
      <c r="C507" s="40"/>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48"/>
      <c r="B508" s="39"/>
      <c r="C508" s="40"/>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48"/>
      <c r="B509" s="39"/>
      <c r="C509" s="40"/>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48"/>
      <c r="B510" s="39"/>
      <c r="C510" s="40"/>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48"/>
      <c r="B511" s="39"/>
      <c r="C511" s="40"/>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48"/>
      <c r="B512" s="39"/>
      <c r="C512" s="40"/>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48"/>
      <c r="B513" s="39"/>
      <c r="C513" s="40"/>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48"/>
      <c r="B514" s="39"/>
      <c r="C514" s="40"/>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48"/>
      <c r="B515" s="39"/>
      <c r="C515" s="40"/>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48"/>
      <c r="B516" s="39"/>
      <c r="C516" s="40"/>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48"/>
      <c r="B517" s="39"/>
      <c r="C517" s="40"/>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48"/>
      <c r="B518" s="39"/>
      <c r="C518" s="40"/>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48"/>
      <c r="B519" s="39"/>
      <c r="C519" s="40"/>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48"/>
      <c r="B520" s="39"/>
      <c r="C520" s="40"/>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48"/>
      <c r="B521" s="39"/>
      <c r="C521" s="40"/>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48"/>
      <c r="B522" s="39"/>
      <c r="C522" s="40"/>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48"/>
      <c r="B523" s="39"/>
      <c r="C523" s="40"/>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48"/>
      <c r="B524" s="39"/>
      <c r="C524" s="40"/>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48"/>
      <c r="B525" s="39"/>
      <c r="C525" s="40"/>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48"/>
      <c r="B526" s="39"/>
      <c r="C526" s="40"/>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48"/>
      <c r="B527" s="39"/>
      <c r="C527" s="40"/>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48"/>
      <c r="B528" s="39"/>
      <c r="C528" s="40"/>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48"/>
      <c r="B529" s="39"/>
      <c r="C529" s="40"/>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48"/>
      <c r="B530" s="39"/>
      <c r="C530" s="40"/>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48"/>
      <c r="B531" s="39"/>
      <c r="C531" s="40"/>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48"/>
      <c r="B532" s="39"/>
      <c r="C532" s="40"/>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48"/>
      <c r="B533" s="39"/>
      <c r="C533" s="40"/>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48"/>
      <c r="B534" s="39"/>
      <c r="C534" s="40"/>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48"/>
      <c r="B535" s="39"/>
      <c r="C535" s="40"/>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48"/>
      <c r="B536" s="39"/>
      <c r="C536" s="40"/>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48"/>
      <c r="B537" s="39"/>
      <c r="C537" s="40"/>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48"/>
      <c r="B538" s="39"/>
      <c r="C538" s="40"/>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48"/>
      <c r="B539" s="39"/>
      <c r="C539" s="40"/>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48"/>
      <c r="B540" s="39"/>
      <c r="C540" s="40"/>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48"/>
      <c r="B541" s="39"/>
      <c r="C541" s="40"/>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48"/>
      <c r="B542" s="39"/>
      <c r="C542" s="40"/>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48"/>
      <c r="B543" s="39"/>
      <c r="C543" s="40"/>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48"/>
      <c r="B544" s="39"/>
      <c r="C544" s="40"/>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48"/>
      <c r="B545" s="39"/>
      <c r="C545" s="40"/>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48"/>
      <c r="B546" s="39"/>
      <c r="C546" s="40"/>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48"/>
      <c r="B547" s="39"/>
      <c r="C547" s="40"/>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48"/>
      <c r="B548" s="39"/>
      <c r="C548" s="40"/>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48"/>
      <c r="B549" s="39"/>
      <c r="C549" s="40"/>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48"/>
      <c r="B550" s="39"/>
      <c r="C550" s="40"/>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48"/>
      <c r="B551" s="39"/>
      <c r="C551" s="40"/>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48"/>
      <c r="B552" s="39"/>
      <c r="C552" s="40"/>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48"/>
      <c r="B553" s="39"/>
      <c r="C553" s="40"/>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48"/>
      <c r="B554" s="39"/>
      <c r="C554" s="40"/>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48"/>
      <c r="B555" s="39"/>
      <c r="C555" s="40"/>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48"/>
      <c r="B556" s="39"/>
      <c r="C556" s="40"/>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48"/>
      <c r="B557" s="39"/>
      <c r="C557" s="40"/>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48"/>
      <c r="B558" s="39"/>
      <c r="C558" s="40"/>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48"/>
      <c r="B559" s="39"/>
      <c r="C559" s="40"/>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48"/>
      <c r="B560" s="39"/>
      <c r="C560" s="40"/>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48"/>
      <c r="B561" s="39"/>
      <c r="C561" s="40"/>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48"/>
      <c r="B562" s="39"/>
      <c r="C562" s="40"/>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48"/>
      <c r="B563" s="39"/>
      <c r="C563" s="40"/>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48"/>
      <c r="B564" s="39"/>
      <c r="C564" s="40"/>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48"/>
      <c r="B565" s="39"/>
      <c r="C565" s="40"/>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48"/>
      <c r="B566" s="39"/>
      <c r="C566" s="40"/>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48"/>
      <c r="B567" s="39"/>
      <c r="C567" s="40"/>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48"/>
      <c r="B568" s="39"/>
      <c r="C568" s="40"/>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48"/>
      <c r="B569" s="39"/>
      <c r="C569" s="40"/>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48"/>
      <c r="B570" s="39"/>
      <c r="C570" s="40"/>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48"/>
      <c r="B571" s="39"/>
      <c r="C571" s="40"/>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48"/>
      <c r="B572" s="39"/>
      <c r="C572" s="40"/>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48"/>
      <c r="B573" s="39"/>
      <c r="C573" s="40"/>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48"/>
      <c r="B574" s="39"/>
      <c r="C574" s="40"/>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48"/>
      <c r="B575" s="39"/>
      <c r="C575" s="40"/>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48"/>
      <c r="B576" s="39"/>
      <c r="C576" s="40"/>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48"/>
      <c r="B577" s="39"/>
      <c r="C577" s="40"/>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48"/>
      <c r="B578" s="39"/>
      <c r="C578" s="40"/>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48"/>
      <c r="B579" s="39"/>
      <c r="C579" s="40"/>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48"/>
      <c r="B580" s="39"/>
      <c r="C580" s="40"/>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48"/>
      <c r="B581" s="39"/>
      <c r="C581" s="40"/>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48"/>
      <c r="B582" s="39"/>
      <c r="C582" s="40"/>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48"/>
      <c r="B583" s="39"/>
      <c r="C583" s="40"/>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48"/>
      <c r="B584" s="39"/>
      <c r="C584" s="40"/>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48"/>
      <c r="B585" s="39"/>
      <c r="C585" s="40"/>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48"/>
      <c r="B586" s="39"/>
      <c r="C586" s="40"/>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48"/>
      <c r="B587" s="39"/>
      <c r="C587" s="40"/>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48"/>
      <c r="B588" s="39"/>
      <c r="C588" s="40"/>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48"/>
      <c r="B589" s="39"/>
      <c r="C589" s="40"/>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48"/>
      <c r="B590" s="39"/>
      <c r="C590" s="40"/>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48"/>
      <c r="B591" s="39"/>
      <c r="C591" s="40"/>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48"/>
      <c r="B592" s="39"/>
      <c r="C592" s="40"/>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48"/>
      <c r="B593" s="39"/>
      <c r="C593" s="40"/>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48"/>
      <c r="B594" s="39"/>
      <c r="C594" s="40"/>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48"/>
      <c r="B595" s="39"/>
      <c r="C595" s="40"/>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48"/>
      <c r="B596" s="39"/>
      <c r="C596" s="40"/>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48"/>
      <c r="B597" s="39"/>
      <c r="C597" s="40"/>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48"/>
      <c r="B598" s="39"/>
      <c r="C598" s="40"/>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48"/>
      <c r="B599" s="39"/>
      <c r="C599" s="40"/>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48"/>
      <c r="B600" s="39"/>
      <c r="C600" s="40"/>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48"/>
      <c r="B601" s="39"/>
      <c r="C601" s="40"/>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48"/>
      <c r="B602" s="39"/>
      <c r="C602" s="40"/>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48"/>
      <c r="B603" s="39"/>
      <c r="C603" s="40"/>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48"/>
      <c r="B604" s="39"/>
      <c r="C604" s="40"/>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48"/>
      <c r="B605" s="39"/>
      <c r="C605" s="40"/>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48"/>
      <c r="B606" s="39"/>
      <c r="C606" s="40"/>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48"/>
      <c r="B607" s="39"/>
      <c r="C607" s="40"/>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48"/>
      <c r="B608" s="39"/>
      <c r="C608" s="40"/>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48"/>
      <c r="B609" s="39"/>
      <c r="C609" s="40"/>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48"/>
      <c r="B610" s="39"/>
      <c r="C610" s="40"/>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48"/>
      <c r="B611" s="39"/>
      <c r="C611" s="40"/>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48"/>
      <c r="B612" s="39"/>
      <c r="C612" s="40"/>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48"/>
      <c r="B613" s="39"/>
      <c r="C613" s="40"/>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48"/>
      <c r="B614" s="39"/>
      <c r="C614" s="40"/>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48"/>
      <c r="B615" s="39"/>
      <c r="C615" s="40"/>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48"/>
      <c r="B616" s="39"/>
      <c r="C616" s="40"/>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48"/>
      <c r="B617" s="39"/>
      <c r="C617" s="40"/>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48"/>
      <c r="B618" s="39"/>
      <c r="C618" s="40"/>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48"/>
      <c r="B619" s="39"/>
      <c r="C619" s="40"/>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48"/>
      <c r="B620" s="39"/>
      <c r="C620" s="40"/>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48"/>
      <c r="B621" s="39"/>
      <c r="C621" s="40"/>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48"/>
      <c r="B622" s="39"/>
      <c r="C622" s="40"/>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48"/>
      <c r="B623" s="39"/>
      <c r="C623" s="40"/>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48"/>
      <c r="B624" s="39"/>
      <c r="C624" s="40"/>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48"/>
      <c r="B625" s="39"/>
      <c r="C625" s="40"/>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48"/>
      <c r="B626" s="39"/>
      <c r="C626" s="40"/>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48"/>
      <c r="B627" s="39"/>
      <c r="C627" s="40"/>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48"/>
      <c r="B628" s="39"/>
      <c r="C628" s="40"/>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48"/>
      <c r="B629" s="39"/>
      <c r="C629" s="40"/>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48"/>
      <c r="B630" s="39"/>
      <c r="C630" s="40"/>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48"/>
      <c r="B631" s="39"/>
      <c r="C631" s="40"/>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48"/>
      <c r="B632" s="39"/>
      <c r="C632" s="40"/>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48"/>
      <c r="B633" s="39"/>
      <c r="C633" s="40"/>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48"/>
      <c r="B634" s="39"/>
      <c r="C634" s="40"/>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48"/>
      <c r="B635" s="39"/>
      <c r="C635" s="40"/>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48"/>
      <c r="B636" s="39"/>
      <c r="C636" s="40"/>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48"/>
      <c r="B637" s="39"/>
      <c r="C637" s="40"/>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48"/>
      <c r="B638" s="39"/>
      <c r="C638" s="40"/>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48"/>
      <c r="B639" s="39"/>
      <c r="C639" s="40"/>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48"/>
      <c r="B640" s="39"/>
      <c r="C640" s="40"/>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48"/>
      <c r="B641" s="39"/>
      <c r="C641" s="40"/>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48"/>
      <c r="B642" s="39"/>
      <c r="C642" s="40"/>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48"/>
      <c r="B643" s="39"/>
      <c r="C643" s="40"/>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48"/>
      <c r="B644" s="39"/>
      <c r="C644" s="40"/>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48"/>
      <c r="B645" s="39"/>
      <c r="C645" s="40"/>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48"/>
      <c r="B646" s="39"/>
      <c r="C646" s="40"/>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48"/>
      <c r="B647" s="39"/>
      <c r="C647" s="40"/>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48"/>
      <c r="B648" s="39"/>
      <c r="C648" s="40"/>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48"/>
      <c r="B649" s="39"/>
      <c r="C649" s="40"/>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48"/>
      <c r="B650" s="39"/>
      <c r="C650" s="40"/>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48"/>
      <c r="B651" s="39"/>
      <c r="C651" s="40"/>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48"/>
      <c r="B652" s="39"/>
      <c r="C652" s="40"/>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48"/>
      <c r="B653" s="39"/>
      <c r="C653" s="40"/>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48"/>
      <c r="B654" s="39"/>
      <c r="C654" s="40"/>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48"/>
      <c r="B655" s="39"/>
      <c r="C655" s="40"/>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48"/>
      <c r="B656" s="39"/>
      <c r="C656" s="40"/>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48"/>
      <c r="B657" s="39"/>
      <c r="C657" s="40"/>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48"/>
      <c r="B658" s="39"/>
      <c r="C658" s="40"/>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48"/>
      <c r="B659" s="39"/>
      <c r="C659" s="40"/>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48"/>
      <c r="B660" s="39"/>
      <c r="C660" s="40"/>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48"/>
      <c r="B661" s="39"/>
      <c r="C661" s="40"/>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48"/>
      <c r="B662" s="39"/>
      <c r="C662" s="40"/>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48"/>
      <c r="B663" s="39"/>
      <c r="C663" s="40"/>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48"/>
      <c r="B664" s="39"/>
      <c r="C664" s="40"/>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48"/>
      <c r="B665" s="39"/>
      <c r="C665" s="40"/>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48"/>
      <c r="B666" s="39"/>
      <c r="C666" s="40"/>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48"/>
      <c r="B667" s="39"/>
      <c r="C667" s="40"/>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48"/>
      <c r="B668" s="39"/>
      <c r="C668" s="40"/>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48"/>
      <c r="B669" s="39"/>
      <c r="C669" s="40"/>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48"/>
      <c r="B670" s="39"/>
      <c r="C670" s="40"/>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48"/>
      <c r="B671" s="39"/>
      <c r="C671" s="40"/>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48"/>
      <c r="B672" s="39"/>
      <c r="C672" s="40"/>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48"/>
      <c r="B673" s="39"/>
      <c r="C673" s="40"/>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48"/>
      <c r="B674" s="39"/>
      <c r="C674" s="40"/>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48"/>
      <c r="B675" s="39"/>
      <c r="C675" s="40"/>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48"/>
      <c r="B676" s="39"/>
      <c r="C676" s="40"/>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48"/>
      <c r="B677" s="39"/>
      <c r="C677" s="40"/>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48"/>
      <c r="B678" s="39"/>
      <c r="C678" s="40"/>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48"/>
      <c r="B679" s="39"/>
      <c r="C679" s="40"/>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48"/>
      <c r="B680" s="39"/>
      <c r="C680" s="40"/>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48"/>
      <c r="B681" s="39"/>
      <c r="C681" s="40"/>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48"/>
      <c r="B682" s="39"/>
      <c r="C682" s="40"/>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48"/>
      <c r="B683" s="39"/>
      <c r="C683" s="40"/>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48"/>
      <c r="B684" s="39"/>
      <c r="C684" s="40"/>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48"/>
      <c r="B685" s="39"/>
      <c r="C685" s="40"/>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48"/>
      <c r="B686" s="39"/>
      <c r="C686" s="40"/>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48"/>
      <c r="B687" s="39"/>
      <c r="C687" s="40"/>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48"/>
      <c r="B688" s="39"/>
      <c r="C688" s="40"/>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48"/>
      <c r="B689" s="39"/>
      <c r="C689" s="40"/>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48"/>
      <c r="B690" s="39"/>
      <c r="C690" s="40"/>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48"/>
      <c r="B691" s="39"/>
      <c r="C691" s="40"/>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48"/>
      <c r="B692" s="39"/>
      <c r="C692" s="40"/>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48"/>
      <c r="B693" s="39"/>
      <c r="C693" s="40"/>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48"/>
      <c r="B694" s="39"/>
      <c r="C694" s="40"/>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48"/>
      <c r="B695" s="39"/>
      <c r="C695" s="40"/>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48"/>
      <c r="B696" s="39"/>
      <c r="C696" s="40"/>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48"/>
      <c r="B697" s="39"/>
      <c r="C697" s="40"/>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48"/>
      <c r="B698" s="39"/>
      <c r="C698" s="40"/>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48"/>
      <c r="B699" s="39"/>
      <c r="C699" s="40"/>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48"/>
      <c r="B700" s="39"/>
      <c r="C700" s="40"/>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48"/>
      <c r="B701" s="39"/>
      <c r="C701" s="40"/>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48"/>
      <c r="B702" s="39"/>
      <c r="C702" s="40"/>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48"/>
      <c r="B703" s="39"/>
      <c r="C703" s="40"/>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48"/>
      <c r="B704" s="39"/>
      <c r="C704" s="40"/>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48"/>
      <c r="B705" s="39"/>
      <c r="C705" s="40"/>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48"/>
      <c r="B706" s="39"/>
      <c r="C706" s="40"/>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48"/>
      <c r="B707" s="39"/>
      <c r="C707" s="40"/>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48"/>
      <c r="B708" s="39"/>
      <c r="C708" s="40"/>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48"/>
      <c r="B709" s="39"/>
      <c r="C709" s="40"/>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48"/>
      <c r="B710" s="39"/>
      <c r="C710" s="40"/>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48"/>
      <c r="B711" s="39"/>
      <c r="C711" s="40"/>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48"/>
      <c r="B712" s="39"/>
      <c r="C712" s="40"/>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48"/>
      <c r="B713" s="39"/>
      <c r="C713" s="40"/>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48"/>
      <c r="B714" s="39"/>
      <c r="C714" s="40"/>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48"/>
      <c r="B715" s="39"/>
      <c r="C715" s="40"/>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48"/>
      <c r="B716" s="39"/>
      <c r="C716" s="40"/>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48"/>
      <c r="B717" s="39"/>
      <c r="C717" s="40"/>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48"/>
      <c r="B718" s="39"/>
      <c r="C718" s="40"/>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48"/>
      <c r="B719" s="39"/>
      <c r="C719" s="40"/>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48"/>
      <c r="B720" s="39"/>
      <c r="C720" s="40"/>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48"/>
      <c r="B721" s="39"/>
      <c r="C721" s="40"/>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48"/>
      <c r="B722" s="39"/>
      <c r="C722" s="40"/>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48"/>
      <c r="B723" s="39"/>
      <c r="C723" s="40"/>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48"/>
      <c r="B724" s="39"/>
      <c r="C724" s="40"/>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48"/>
      <c r="B725" s="39"/>
      <c r="C725" s="40"/>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48"/>
      <c r="B726" s="39"/>
      <c r="C726" s="40"/>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48"/>
      <c r="B727" s="39"/>
      <c r="C727" s="40"/>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48"/>
      <c r="B728" s="39"/>
      <c r="C728" s="40"/>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48"/>
      <c r="B729" s="39"/>
      <c r="C729" s="40"/>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48"/>
      <c r="B730" s="39"/>
      <c r="C730" s="40"/>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48"/>
      <c r="B731" s="39"/>
      <c r="C731" s="40"/>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48"/>
      <c r="B732" s="39"/>
      <c r="C732" s="40"/>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48"/>
      <c r="B733" s="39"/>
      <c r="C733" s="40"/>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48"/>
      <c r="B734" s="39"/>
      <c r="C734" s="40"/>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48"/>
      <c r="B735" s="39"/>
      <c r="C735" s="40"/>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48"/>
      <c r="B736" s="39"/>
      <c r="C736" s="40"/>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48"/>
      <c r="B737" s="39"/>
      <c r="C737" s="40"/>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48"/>
      <c r="B738" s="39"/>
      <c r="C738" s="40"/>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48"/>
      <c r="B739" s="39"/>
      <c r="C739" s="40"/>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48"/>
      <c r="B740" s="39"/>
      <c r="C740" s="40"/>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48"/>
      <c r="B741" s="39"/>
      <c r="C741" s="40"/>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48"/>
      <c r="B742" s="39"/>
      <c r="C742" s="40"/>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48"/>
      <c r="B743" s="39"/>
      <c r="C743" s="40"/>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48"/>
      <c r="B744" s="39"/>
      <c r="C744" s="40"/>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48"/>
      <c r="B745" s="39"/>
      <c r="C745" s="40"/>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48"/>
      <c r="B746" s="39"/>
      <c r="C746" s="40"/>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48"/>
      <c r="B747" s="39"/>
      <c r="C747" s="40"/>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48"/>
      <c r="B748" s="39"/>
      <c r="C748" s="40"/>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48"/>
      <c r="B749" s="39"/>
      <c r="C749" s="40"/>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48"/>
      <c r="B750" s="39"/>
      <c r="C750" s="40"/>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48"/>
      <c r="B751" s="39"/>
      <c r="C751" s="40"/>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48"/>
      <c r="B752" s="39"/>
      <c r="C752" s="40"/>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48"/>
      <c r="B753" s="39"/>
      <c r="C753" s="40"/>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48"/>
      <c r="B754" s="39"/>
      <c r="C754" s="40"/>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48"/>
      <c r="B755" s="39"/>
      <c r="C755" s="40"/>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48"/>
      <c r="B756" s="39"/>
      <c r="C756" s="40"/>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48"/>
      <c r="B757" s="39"/>
      <c r="C757" s="40"/>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48"/>
      <c r="B758" s="39"/>
      <c r="C758" s="40"/>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48"/>
      <c r="B759" s="39"/>
      <c r="C759" s="40"/>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48"/>
      <c r="B760" s="39"/>
      <c r="C760" s="40"/>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48"/>
      <c r="B761" s="39"/>
      <c r="C761" s="40"/>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48"/>
      <c r="B762" s="39"/>
      <c r="C762" s="40"/>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48"/>
      <c r="B763" s="39"/>
      <c r="C763" s="40"/>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48"/>
      <c r="B764" s="39"/>
      <c r="C764" s="40"/>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48"/>
      <c r="B765" s="39"/>
      <c r="C765" s="40"/>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48"/>
      <c r="B766" s="39"/>
      <c r="C766" s="40"/>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48"/>
      <c r="B767" s="39"/>
      <c r="C767" s="40"/>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48"/>
      <c r="B768" s="39"/>
      <c r="C768" s="40"/>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48"/>
      <c r="B769" s="39"/>
      <c r="C769" s="40"/>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48"/>
      <c r="B770" s="39"/>
      <c r="C770" s="40"/>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48"/>
      <c r="B771" s="39"/>
      <c r="C771" s="40"/>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48"/>
      <c r="B772" s="39"/>
      <c r="C772" s="40"/>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48"/>
      <c r="B773" s="39"/>
      <c r="C773" s="40"/>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48"/>
      <c r="B774" s="39"/>
      <c r="C774" s="40"/>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48"/>
      <c r="B775" s="39"/>
      <c r="C775" s="40"/>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48"/>
      <c r="B776" s="39"/>
      <c r="C776" s="40"/>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48"/>
      <c r="B777" s="39"/>
      <c r="C777" s="40"/>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48"/>
      <c r="B778" s="39"/>
      <c r="C778" s="40"/>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48"/>
      <c r="B779" s="39"/>
      <c r="C779" s="40"/>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48"/>
      <c r="B780" s="39"/>
      <c r="C780" s="40"/>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48"/>
      <c r="B781" s="39"/>
      <c r="C781" s="40"/>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48"/>
      <c r="B782" s="39"/>
      <c r="C782" s="40"/>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48"/>
      <c r="B783" s="39"/>
      <c r="C783" s="40"/>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48"/>
      <c r="B784" s="39"/>
      <c r="C784" s="40"/>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48"/>
      <c r="B785" s="39"/>
      <c r="C785" s="40"/>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48"/>
      <c r="B786" s="39"/>
      <c r="C786" s="40"/>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48"/>
      <c r="B787" s="39"/>
      <c r="C787" s="40"/>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48"/>
      <c r="B788" s="39"/>
      <c r="C788" s="40"/>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48"/>
      <c r="B789" s="39"/>
      <c r="C789" s="40"/>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48"/>
      <c r="B790" s="39"/>
      <c r="C790" s="40"/>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48"/>
      <c r="B791" s="39"/>
      <c r="C791" s="40"/>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48"/>
      <c r="B792" s="39"/>
      <c r="C792" s="40"/>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48"/>
      <c r="B793" s="39"/>
      <c r="C793" s="40"/>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48"/>
      <c r="B794" s="39"/>
      <c r="C794" s="40"/>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48"/>
      <c r="B795" s="39"/>
      <c r="C795" s="40"/>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48"/>
      <c r="B796" s="39"/>
      <c r="C796" s="40"/>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48"/>
      <c r="B797" s="39"/>
      <c r="C797" s="40"/>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48"/>
      <c r="B798" s="39"/>
      <c r="C798" s="40"/>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48"/>
      <c r="B799" s="39"/>
      <c r="C799" s="40"/>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48"/>
      <c r="B800" s="39"/>
      <c r="C800" s="40"/>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48"/>
      <c r="B801" s="39"/>
      <c r="C801" s="40"/>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48"/>
      <c r="B802" s="39"/>
      <c r="C802" s="40"/>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48"/>
      <c r="B803" s="39"/>
      <c r="C803" s="40"/>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48"/>
      <c r="B804" s="39"/>
      <c r="C804" s="40"/>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48"/>
      <c r="B805" s="39"/>
      <c r="C805" s="40"/>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48"/>
      <c r="B806" s="39"/>
      <c r="C806" s="40"/>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48"/>
      <c r="B807" s="39"/>
      <c r="C807" s="40"/>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48"/>
      <c r="B808" s="39"/>
      <c r="C808" s="40"/>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48"/>
      <c r="B809" s="39"/>
      <c r="C809" s="40"/>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48"/>
      <c r="B810" s="39"/>
      <c r="C810" s="40"/>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48"/>
      <c r="B811" s="39"/>
      <c r="C811" s="40"/>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48"/>
      <c r="B812" s="39"/>
      <c r="C812" s="40"/>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48"/>
      <c r="B813" s="39"/>
      <c r="C813" s="40"/>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48"/>
      <c r="B814" s="39"/>
      <c r="C814" s="40"/>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48"/>
      <c r="B815" s="39"/>
      <c r="C815" s="40"/>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48"/>
      <c r="B816" s="39"/>
      <c r="C816" s="40"/>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48"/>
      <c r="B817" s="39"/>
      <c r="C817" s="40"/>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48"/>
      <c r="B818" s="39"/>
      <c r="C818" s="40"/>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48"/>
      <c r="B819" s="39"/>
      <c r="C819" s="40"/>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48"/>
      <c r="B820" s="39"/>
      <c r="C820" s="40"/>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48"/>
      <c r="B821" s="39"/>
      <c r="C821" s="40"/>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48"/>
      <c r="B822" s="39"/>
      <c r="C822" s="40"/>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48"/>
      <c r="B823" s="39"/>
      <c r="C823" s="40"/>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48"/>
      <c r="B824" s="39"/>
      <c r="C824" s="40"/>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48"/>
      <c r="B825" s="39"/>
      <c r="C825" s="40"/>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48"/>
      <c r="B826" s="39"/>
      <c r="C826" s="40"/>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48"/>
      <c r="B827" s="39"/>
      <c r="C827" s="40"/>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48"/>
      <c r="B828" s="39"/>
      <c r="C828" s="40"/>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48"/>
      <c r="B829" s="39"/>
      <c r="C829" s="40"/>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48"/>
      <c r="B830" s="39"/>
      <c r="C830" s="40"/>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48"/>
      <c r="B831" s="39"/>
      <c r="C831" s="40"/>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48"/>
      <c r="B832" s="39"/>
      <c r="C832" s="40"/>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48"/>
      <c r="B833" s="39"/>
      <c r="C833" s="40"/>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48"/>
      <c r="B834" s="39"/>
      <c r="C834" s="40"/>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48"/>
      <c r="B835" s="39"/>
      <c r="C835" s="40"/>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48"/>
      <c r="B836" s="39"/>
      <c r="C836" s="40"/>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48"/>
      <c r="B837" s="39"/>
      <c r="C837" s="40"/>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48"/>
      <c r="B838" s="39"/>
      <c r="C838" s="40"/>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48"/>
      <c r="B839" s="39"/>
      <c r="C839" s="40"/>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48"/>
      <c r="B840" s="39"/>
      <c r="C840" s="40"/>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48"/>
      <c r="B841" s="39"/>
      <c r="C841" s="40"/>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48"/>
      <c r="B842" s="39"/>
      <c r="C842" s="40"/>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48"/>
      <c r="B843" s="39"/>
      <c r="C843" s="40"/>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48"/>
      <c r="B844" s="39"/>
      <c r="C844" s="40"/>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48"/>
      <c r="B845" s="39"/>
      <c r="C845" s="40"/>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48"/>
      <c r="B846" s="39"/>
      <c r="C846" s="40"/>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48"/>
      <c r="B847" s="39"/>
      <c r="C847" s="40"/>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48"/>
      <c r="B848" s="39"/>
      <c r="C848" s="40"/>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48"/>
      <c r="B849" s="39"/>
      <c r="C849" s="40"/>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48"/>
      <c r="B850" s="39"/>
      <c r="C850" s="40"/>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48"/>
      <c r="B851" s="39"/>
      <c r="C851" s="40"/>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48"/>
      <c r="B852" s="39"/>
      <c r="C852" s="40"/>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48"/>
      <c r="B853" s="39"/>
      <c r="C853" s="40"/>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48"/>
      <c r="B854" s="39"/>
      <c r="C854" s="40"/>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48"/>
      <c r="B855" s="39"/>
      <c r="C855" s="40"/>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48"/>
      <c r="B856" s="39"/>
      <c r="C856" s="40"/>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48"/>
      <c r="B857" s="39"/>
      <c r="C857" s="40"/>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48"/>
      <c r="B858" s="39"/>
      <c r="C858" s="40"/>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48"/>
      <c r="B859" s="39"/>
      <c r="C859" s="40"/>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48"/>
      <c r="B860" s="39"/>
      <c r="C860" s="40"/>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48"/>
      <c r="B861" s="39"/>
      <c r="C861" s="40"/>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48"/>
      <c r="B862" s="39"/>
      <c r="C862" s="40"/>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48"/>
      <c r="B863" s="39"/>
      <c r="C863" s="40"/>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48"/>
      <c r="B864" s="39"/>
      <c r="C864" s="40"/>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48"/>
      <c r="B865" s="39"/>
      <c r="C865" s="40"/>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48"/>
      <c r="B866" s="39"/>
      <c r="C866" s="40"/>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48"/>
      <c r="B867" s="39"/>
      <c r="C867" s="40"/>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48"/>
      <c r="B868" s="39"/>
      <c r="C868" s="40"/>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48"/>
      <c r="B869" s="39"/>
      <c r="C869" s="40"/>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48"/>
      <c r="B870" s="39"/>
      <c r="C870" s="40"/>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48"/>
      <c r="B871" s="39"/>
      <c r="C871" s="40"/>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48"/>
      <c r="B872" s="39"/>
      <c r="C872" s="40"/>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48"/>
      <c r="B873" s="39"/>
      <c r="C873" s="40"/>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48"/>
      <c r="B874" s="39"/>
      <c r="C874" s="40"/>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48"/>
      <c r="B875" s="39"/>
      <c r="C875" s="40"/>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48"/>
      <c r="B876" s="39"/>
      <c r="C876" s="40"/>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48"/>
      <c r="B877" s="39"/>
      <c r="C877" s="40"/>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48"/>
      <c r="B878" s="39"/>
      <c r="C878" s="40"/>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48"/>
      <c r="B879" s="39"/>
      <c r="C879" s="40"/>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48"/>
      <c r="B880" s="39"/>
      <c r="C880" s="40"/>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48"/>
      <c r="B881" s="39"/>
      <c r="C881" s="40"/>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48"/>
      <c r="B882" s="39"/>
      <c r="C882" s="40"/>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48"/>
      <c r="B883" s="39"/>
      <c r="C883" s="40"/>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48"/>
      <c r="B884" s="39"/>
      <c r="C884" s="40"/>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48"/>
      <c r="B885" s="39"/>
      <c r="C885" s="40"/>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48"/>
      <c r="B886" s="39"/>
      <c r="C886" s="40"/>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48"/>
      <c r="B887" s="39"/>
      <c r="C887" s="40"/>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48"/>
      <c r="B888" s="39"/>
      <c r="C888" s="40"/>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48"/>
      <c r="B889" s="39"/>
      <c r="C889" s="40"/>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48"/>
      <c r="B890" s="39"/>
      <c r="C890" s="40"/>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48"/>
      <c r="B891" s="39"/>
      <c r="C891" s="40"/>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48"/>
      <c r="B892" s="39"/>
      <c r="C892" s="40"/>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48"/>
      <c r="B893" s="39"/>
      <c r="C893" s="40"/>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48"/>
      <c r="B894" s="39"/>
      <c r="C894" s="40"/>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48"/>
      <c r="B895" s="39"/>
      <c r="C895" s="40"/>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48"/>
      <c r="B896" s="39"/>
      <c r="C896" s="40"/>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48"/>
      <c r="B897" s="39"/>
      <c r="C897" s="40"/>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48"/>
      <c r="B898" s="39"/>
      <c r="C898" s="40"/>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48"/>
      <c r="B899" s="39"/>
      <c r="C899" s="40"/>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48"/>
      <c r="B900" s="39"/>
      <c r="C900" s="40"/>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48"/>
      <c r="B901" s="39"/>
      <c r="C901" s="40"/>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48"/>
      <c r="B902" s="39"/>
      <c r="C902" s="40"/>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48"/>
      <c r="B903" s="39"/>
      <c r="C903" s="40"/>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48"/>
      <c r="B904" s="39"/>
      <c r="C904" s="40"/>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48"/>
      <c r="B905" s="39"/>
      <c r="C905" s="40"/>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48"/>
      <c r="B906" s="39"/>
      <c r="C906" s="40"/>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48"/>
      <c r="B907" s="39"/>
      <c r="C907" s="40"/>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48"/>
      <c r="B908" s="39"/>
      <c r="C908" s="40"/>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48"/>
      <c r="B909" s="39"/>
      <c r="C909" s="40"/>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48"/>
      <c r="B910" s="39"/>
      <c r="C910" s="40"/>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48"/>
      <c r="B911" s="39"/>
      <c r="C911" s="40"/>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48"/>
      <c r="B912" s="39"/>
      <c r="C912" s="40"/>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48"/>
      <c r="B913" s="39"/>
      <c r="C913" s="40"/>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48"/>
      <c r="B914" s="39"/>
      <c r="C914" s="40"/>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48"/>
      <c r="B915" s="39"/>
      <c r="C915" s="40"/>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48"/>
      <c r="B916" s="39"/>
      <c r="C916" s="40"/>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48"/>
      <c r="B917" s="39"/>
      <c r="C917" s="40"/>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48"/>
      <c r="B918" s="39"/>
      <c r="C918" s="40"/>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48"/>
      <c r="B919" s="39"/>
      <c r="C919" s="40"/>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48"/>
      <c r="B920" s="39"/>
      <c r="C920" s="40"/>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48"/>
      <c r="B921" s="39"/>
      <c r="C921" s="40"/>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48"/>
      <c r="B922" s="39"/>
      <c r="C922" s="40"/>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48"/>
      <c r="B923" s="39"/>
      <c r="C923" s="40"/>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48"/>
      <c r="B924" s="39"/>
      <c r="C924" s="40"/>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48"/>
      <c r="B925" s="39"/>
      <c r="C925" s="40"/>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48"/>
      <c r="B926" s="39"/>
      <c r="C926" s="40"/>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48"/>
      <c r="B927" s="39"/>
      <c r="C927" s="40"/>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48"/>
      <c r="B928" s="39"/>
      <c r="C928" s="40"/>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48"/>
      <c r="B929" s="39"/>
      <c r="C929" s="40"/>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48"/>
      <c r="B930" s="39"/>
      <c r="C930" s="40"/>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48"/>
      <c r="B931" s="39"/>
      <c r="C931" s="40"/>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48"/>
      <c r="B932" s="39"/>
      <c r="C932" s="40"/>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48"/>
      <c r="B933" s="39"/>
      <c r="C933" s="40"/>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48"/>
      <c r="B934" s="39"/>
      <c r="C934" s="40"/>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48"/>
      <c r="B935" s="39"/>
      <c r="C935" s="40"/>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48"/>
      <c r="B936" s="39"/>
      <c r="C936" s="40"/>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48"/>
      <c r="B937" s="39"/>
      <c r="C937" s="40"/>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48"/>
      <c r="B938" s="39"/>
      <c r="C938" s="40"/>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48"/>
      <c r="B939" s="39"/>
      <c r="C939" s="40"/>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48"/>
      <c r="B940" s="39"/>
      <c r="C940" s="40"/>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48"/>
      <c r="B941" s="39"/>
      <c r="C941" s="40"/>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48"/>
      <c r="B942" s="39"/>
      <c r="C942" s="40"/>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48"/>
      <c r="B943" s="39"/>
      <c r="C943" s="40"/>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48"/>
      <c r="B944" s="39"/>
      <c r="C944" s="40"/>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48"/>
      <c r="B945" s="39"/>
      <c r="C945" s="40"/>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48"/>
      <c r="B946" s="39"/>
      <c r="C946" s="40"/>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48"/>
      <c r="B947" s="39"/>
      <c r="C947" s="40"/>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48"/>
      <c r="B948" s="39"/>
      <c r="C948" s="40"/>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48"/>
      <c r="B949" s="39"/>
      <c r="C949" s="40"/>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48"/>
      <c r="B950" s="39"/>
      <c r="C950" s="40"/>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48"/>
      <c r="B951" s="39"/>
      <c r="C951" s="40"/>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48"/>
      <c r="B952" s="39"/>
      <c r="C952" s="40"/>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48"/>
      <c r="B953" s="39"/>
      <c r="C953" s="40"/>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48"/>
      <c r="B954" s="39"/>
      <c r="C954" s="40"/>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48"/>
      <c r="B955" s="39"/>
      <c r="C955" s="40"/>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48"/>
      <c r="B956" s="39"/>
      <c r="C956" s="40"/>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48"/>
      <c r="B957" s="39"/>
      <c r="C957" s="40"/>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48"/>
      <c r="B958" s="39"/>
      <c r="C958" s="40"/>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48"/>
      <c r="B959" s="39"/>
      <c r="C959" s="40"/>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48"/>
      <c r="B960" s="39"/>
      <c r="C960" s="40"/>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48"/>
      <c r="B961" s="39"/>
      <c r="C961" s="40"/>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48"/>
      <c r="B962" s="39"/>
      <c r="C962" s="40"/>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48"/>
      <c r="B963" s="39"/>
      <c r="C963" s="40"/>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48"/>
      <c r="B964" s="39"/>
      <c r="C964" s="40"/>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48"/>
      <c r="B965" s="39"/>
      <c r="C965" s="40"/>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48"/>
      <c r="B966" s="39"/>
      <c r="C966" s="40"/>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48"/>
      <c r="B967" s="39"/>
      <c r="C967" s="40"/>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48"/>
      <c r="B968" s="39"/>
      <c r="C968" s="40"/>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48"/>
      <c r="B969" s="39"/>
      <c r="C969" s="40"/>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48"/>
      <c r="B970" s="39"/>
      <c r="C970" s="40"/>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48"/>
      <c r="B971" s="39"/>
      <c r="C971" s="40"/>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48"/>
      <c r="B972" s="39"/>
      <c r="C972" s="40"/>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48"/>
      <c r="B973" s="39"/>
      <c r="C973" s="40"/>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48"/>
      <c r="B974" s="39"/>
      <c r="C974" s="40"/>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48"/>
      <c r="B975" s="39"/>
      <c r="C975" s="40"/>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48"/>
      <c r="B976" s="39"/>
      <c r="C976" s="40"/>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48"/>
      <c r="B977" s="39"/>
      <c r="C977" s="40"/>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48"/>
      <c r="B978" s="39"/>
      <c r="C978" s="40"/>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48"/>
      <c r="B979" s="39"/>
      <c r="C979" s="40"/>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48"/>
      <c r="B980" s="39"/>
      <c r="C980" s="40"/>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48"/>
      <c r="B981" s="39"/>
      <c r="C981" s="40"/>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48"/>
      <c r="B982" s="39"/>
      <c r="C982" s="40"/>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48"/>
      <c r="B983" s="39"/>
      <c r="C983" s="40"/>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48"/>
      <c r="B984" s="39"/>
      <c r="C984" s="40"/>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48"/>
      <c r="B985" s="39"/>
      <c r="C985" s="40"/>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48"/>
      <c r="B986" s="39"/>
      <c r="C986" s="40"/>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48"/>
      <c r="B987" s="39"/>
      <c r="C987" s="40"/>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48"/>
      <c r="B988" s="39"/>
      <c r="C988" s="40"/>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48"/>
      <c r="B989" s="39"/>
      <c r="C989" s="40"/>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48"/>
      <c r="B990" s="39"/>
      <c r="C990" s="40"/>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48"/>
      <c r="B991" s="39"/>
      <c r="C991" s="40"/>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48"/>
      <c r="B992" s="39"/>
      <c r="C992" s="40"/>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48"/>
      <c r="B993" s="39"/>
      <c r="C993" s="40"/>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48"/>
      <c r="B994" s="39"/>
      <c r="C994" s="40"/>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48"/>
      <c r="B995" s="39"/>
      <c r="C995" s="40"/>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48"/>
      <c r="B996" s="39"/>
      <c r="C996" s="40"/>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48"/>
      <c r="B997" s="39"/>
      <c r="C997" s="40"/>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48"/>
      <c r="B998" s="39"/>
      <c r="C998" s="40"/>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48"/>
      <c r="B999" s="39"/>
      <c r="C999" s="40"/>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48"/>
      <c r="B1000" s="39"/>
      <c r="C1000" s="40"/>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c r="A1001" s="48"/>
      <c r="B1001" s="39"/>
      <c r="C1001" s="40"/>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48"/>
      <c r="B1002" s="39"/>
      <c r="C1002" s="40"/>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48"/>
      <c r="B1003" s="39"/>
      <c r="C1003" s="40"/>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48"/>
      <c r="B1004" s="39"/>
      <c r="C1004" s="40"/>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48"/>
      <c r="B1005" s="39"/>
      <c r="C1005" s="40"/>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48"/>
      <c r="B1006" s="39"/>
      <c r="C1006" s="40"/>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c r="A1007" s="48"/>
      <c r="B1007" s="39"/>
      <c r="C1007" s="40"/>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c r="A1008" s="48"/>
      <c r="B1008" s="39"/>
      <c r="C1008" s="40"/>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c r="A1009" s="48"/>
      <c r="B1009" s="39"/>
      <c r="C1009" s="40"/>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c r="A1010" s="48"/>
      <c r="B1010" s="39"/>
      <c r="C1010" s="40"/>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c r="A1011" s="48"/>
      <c r="B1011" s="39"/>
      <c r="C1011" s="40"/>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c r="A1012" s="48"/>
      <c r="B1012" s="39"/>
      <c r="C1012" s="40"/>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c r="A1013" s="48"/>
      <c r="B1013" s="39"/>
      <c r="C1013" s="40"/>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c r="A1014" s="48"/>
      <c r="B1014" s="39"/>
      <c r="C1014" s="40"/>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c r="A1015" s="48"/>
      <c r="B1015" s="39"/>
      <c r="C1015" s="40"/>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row r="1016">
      <c r="A1016" s="48"/>
      <c r="B1016" s="39"/>
      <c r="C1016" s="40"/>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row>
    <row r="1017">
      <c r="A1017" s="48"/>
      <c r="B1017" s="39"/>
      <c r="C1017" s="40"/>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r="1018">
      <c r="A1018" s="48"/>
      <c r="B1018" s="39"/>
      <c r="C1018" s="40"/>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r="1019">
      <c r="A1019" s="48"/>
      <c r="B1019" s="39"/>
      <c r="C1019" s="40"/>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r="1020">
      <c r="A1020" s="48"/>
      <c r="B1020" s="39"/>
      <c r="C1020" s="40"/>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r="1021">
      <c r="A1021" s="48"/>
      <c r="B1021" s="39"/>
      <c r="C1021" s="40"/>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row>
  </sheetData>
  <customSheetViews>
    <customSheetView guid="{983BA6D8-7D2E-41C6-80AE-421FFF89E787}" filter="1" showAutoFilter="1">
      <autoFilter ref="$C$147:$E$156"/>
    </customSheetView>
  </customSheetViews>
  <conditionalFormatting sqref="D131:D136">
    <cfRule type="cellIs" dxfId="0" priority="1" operator="lessThan">
      <formula>30</formula>
    </cfRule>
  </conditionalFormatting>
  <dataValidations>
    <dataValidation type="list" allowBlank="1" showErrorMessage="1" sqref="E140:E144">
      <formula1>"Close Store,Cut 1 year salary for all,Fire all employees,Raise Budget,Hire more people"</formula1>
    </dataValidation>
    <dataValidation type="custom" allowBlank="1" showDropDown="1" showInputMessage="1" prompt="Enter a valid email" sqref="F140:F144">
      <formula1>IFERROR(ISEMAIL(F140), true)</formula1>
    </dataValidation>
  </dataValidation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66"/>
      <c r="S1" s="5"/>
      <c r="T1" s="5"/>
      <c r="U1" s="5"/>
      <c r="V1" s="5"/>
      <c r="W1" s="5"/>
      <c r="X1" s="5"/>
      <c r="Y1" s="5"/>
      <c r="Z1" s="5"/>
    </row>
    <row r="2">
      <c r="A2" s="5"/>
      <c r="B2" s="5"/>
      <c r="C2" s="5"/>
      <c r="D2" s="5"/>
      <c r="E2" s="5"/>
      <c r="F2" s="5"/>
      <c r="G2" s="5"/>
      <c r="H2" s="5"/>
      <c r="I2" s="5"/>
      <c r="J2" s="5"/>
      <c r="K2" s="5"/>
      <c r="L2" s="5"/>
      <c r="M2" s="5"/>
      <c r="N2" s="5"/>
      <c r="O2" s="5"/>
      <c r="P2" s="5"/>
      <c r="Q2" s="5"/>
      <c r="R2" s="66"/>
      <c r="S2" s="5"/>
      <c r="T2" s="5"/>
      <c r="U2" s="5"/>
      <c r="V2" s="5"/>
      <c r="W2" s="5"/>
      <c r="X2" s="5"/>
      <c r="Y2" s="5"/>
      <c r="Z2" s="5"/>
    </row>
    <row r="3">
      <c r="A3" s="5"/>
      <c r="B3" s="5"/>
      <c r="C3" s="5"/>
      <c r="D3" s="5"/>
      <c r="E3" s="5"/>
      <c r="F3" s="5"/>
      <c r="G3" s="5"/>
      <c r="H3" s="5"/>
      <c r="I3" s="5"/>
      <c r="J3" s="5"/>
      <c r="K3" s="5"/>
      <c r="L3" s="5"/>
      <c r="M3" s="5"/>
      <c r="N3" s="5"/>
      <c r="O3" s="5"/>
      <c r="P3" s="5"/>
      <c r="Q3" s="5"/>
      <c r="R3" s="66"/>
      <c r="S3" s="5"/>
      <c r="T3" s="5"/>
      <c r="U3" s="5"/>
      <c r="V3" s="5"/>
      <c r="W3" s="5"/>
      <c r="X3" s="5"/>
      <c r="Y3" s="5"/>
      <c r="Z3" s="5"/>
    </row>
    <row r="4">
      <c r="A4" s="7" t="s">
        <v>233</v>
      </c>
      <c r="B4" s="5"/>
      <c r="C4" s="5"/>
      <c r="D4" s="5"/>
      <c r="E4" s="5"/>
      <c r="F4" s="5"/>
      <c r="G4" s="5"/>
      <c r="H4" s="5"/>
      <c r="I4" s="5"/>
      <c r="J4" s="5"/>
      <c r="K4" s="5"/>
      <c r="L4" s="5"/>
      <c r="M4" s="5"/>
      <c r="N4" s="5"/>
      <c r="O4" s="5"/>
      <c r="P4" s="5"/>
      <c r="Q4" s="5"/>
      <c r="R4" s="66"/>
      <c r="S4" s="7"/>
      <c r="T4" s="5"/>
      <c r="U4" s="5"/>
      <c r="V4" s="5"/>
      <c r="W4" s="5"/>
      <c r="X4" s="5"/>
      <c r="Y4" s="5"/>
      <c r="Z4" s="5"/>
    </row>
    <row r="5">
      <c r="A5" s="67" t="s">
        <v>0</v>
      </c>
      <c r="B5" s="67" t="s">
        <v>1</v>
      </c>
      <c r="C5" s="67" t="s">
        <v>2</v>
      </c>
      <c r="D5" s="67" t="s">
        <v>234</v>
      </c>
      <c r="E5" s="67" t="s">
        <v>235</v>
      </c>
      <c r="F5" s="67" t="s">
        <v>236</v>
      </c>
      <c r="G5" s="67" t="s">
        <v>3</v>
      </c>
      <c r="H5" s="67" t="s">
        <v>4</v>
      </c>
      <c r="I5" s="67" t="s">
        <v>5</v>
      </c>
      <c r="J5" s="67" t="s">
        <v>6</v>
      </c>
      <c r="K5" s="67" t="s">
        <v>7</v>
      </c>
      <c r="L5" s="67" t="s">
        <v>8</v>
      </c>
      <c r="M5" s="67" t="s">
        <v>9</v>
      </c>
      <c r="N5" s="67" t="s">
        <v>237</v>
      </c>
      <c r="O5" s="67" t="s">
        <v>238</v>
      </c>
      <c r="P5" s="67" t="s">
        <v>239</v>
      </c>
      <c r="Q5" s="67" t="s">
        <v>240</v>
      </c>
      <c r="R5" s="66"/>
      <c r="S5" s="68" t="s">
        <v>241</v>
      </c>
      <c r="T5" s="5"/>
      <c r="U5" s="5"/>
      <c r="V5" s="5"/>
      <c r="W5" s="5"/>
      <c r="X5" s="5"/>
      <c r="Y5" s="5"/>
      <c r="Z5" s="5"/>
    </row>
    <row r="6">
      <c r="A6" s="69">
        <v>335982.0</v>
      </c>
      <c r="B6" s="69" t="s">
        <v>242</v>
      </c>
      <c r="C6" s="70">
        <v>39556.0</v>
      </c>
      <c r="D6" s="69" t="s">
        <v>243</v>
      </c>
      <c r="E6" s="69" t="s">
        <v>244</v>
      </c>
      <c r="F6" s="69">
        <v>0.0</v>
      </c>
      <c r="G6" s="69" t="s">
        <v>11</v>
      </c>
      <c r="H6" s="69" t="s">
        <v>12</v>
      </c>
      <c r="I6" s="69" t="s">
        <v>11</v>
      </c>
      <c r="J6" s="69" t="s">
        <v>13</v>
      </c>
      <c r="K6" s="69" t="s">
        <v>12</v>
      </c>
      <c r="L6" s="69" t="s">
        <v>14</v>
      </c>
      <c r="M6" s="69">
        <v>140.0</v>
      </c>
      <c r="N6" s="69" t="s">
        <v>245</v>
      </c>
      <c r="O6" s="69" t="s">
        <v>246</v>
      </c>
      <c r="P6" s="69" t="s">
        <v>247</v>
      </c>
      <c r="Q6" s="69" t="s">
        <v>248</v>
      </c>
      <c r="R6" s="66"/>
      <c r="S6" s="71" t="s">
        <v>249</v>
      </c>
      <c r="T6" s="5"/>
      <c r="U6" s="5"/>
      <c r="V6" s="5"/>
      <c r="W6" s="5"/>
      <c r="X6" s="5"/>
      <c r="Y6" s="5"/>
      <c r="Z6" s="5"/>
    </row>
    <row r="7">
      <c r="A7" s="72">
        <v>335983.0</v>
      </c>
      <c r="B7" s="72" t="s">
        <v>15</v>
      </c>
      <c r="C7" s="73">
        <v>39557.0</v>
      </c>
      <c r="D7" s="72" t="s">
        <v>250</v>
      </c>
      <c r="E7" s="72" t="s">
        <v>251</v>
      </c>
      <c r="F7" s="72">
        <v>0.0</v>
      </c>
      <c r="G7" s="72" t="s">
        <v>16</v>
      </c>
      <c r="H7" s="72" t="s">
        <v>17</v>
      </c>
      <c r="I7" s="72" t="s">
        <v>17</v>
      </c>
      <c r="J7" s="72" t="s">
        <v>18</v>
      </c>
      <c r="K7" s="72" t="s">
        <v>17</v>
      </c>
      <c r="L7" s="72" t="s">
        <v>14</v>
      </c>
      <c r="M7" s="72">
        <v>33.0</v>
      </c>
      <c r="N7" s="72" t="s">
        <v>245</v>
      </c>
      <c r="O7" s="72" t="s">
        <v>246</v>
      </c>
      <c r="P7" s="72" t="s">
        <v>252</v>
      </c>
      <c r="Q7" s="72" t="s">
        <v>253</v>
      </c>
      <c r="R7" s="66"/>
      <c r="S7" s="5"/>
      <c r="T7" s="5"/>
      <c r="U7" s="5"/>
      <c r="V7" s="5"/>
      <c r="W7" s="5"/>
      <c r="X7" s="5"/>
      <c r="Y7" s="5"/>
      <c r="Z7" s="5"/>
    </row>
    <row r="8">
      <c r="A8" s="69">
        <v>335984.0</v>
      </c>
      <c r="B8" s="69" t="s">
        <v>19</v>
      </c>
      <c r="C8" s="70">
        <v>39557.0</v>
      </c>
      <c r="D8" s="69" t="s">
        <v>254</v>
      </c>
      <c r="E8" s="69" t="s">
        <v>255</v>
      </c>
      <c r="F8" s="69">
        <v>0.0</v>
      </c>
      <c r="G8" s="69" t="s">
        <v>20</v>
      </c>
      <c r="H8" s="69" t="s">
        <v>21</v>
      </c>
      <c r="I8" s="69" t="s">
        <v>21</v>
      </c>
      <c r="J8" s="69" t="s">
        <v>18</v>
      </c>
      <c r="K8" s="69" t="s">
        <v>20</v>
      </c>
      <c r="L8" s="69" t="s">
        <v>22</v>
      </c>
      <c r="M8" s="69">
        <v>9.0</v>
      </c>
      <c r="N8" s="69" t="s">
        <v>245</v>
      </c>
      <c r="O8" s="69" t="s">
        <v>246</v>
      </c>
      <c r="P8" s="69" t="s">
        <v>256</v>
      </c>
      <c r="Q8" s="69" t="s">
        <v>257</v>
      </c>
      <c r="R8" s="66"/>
      <c r="S8" s="5"/>
      <c r="T8" s="5"/>
      <c r="U8" s="5"/>
      <c r="V8" s="5"/>
      <c r="W8" s="5"/>
      <c r="X8" s="5"/>
      <c r="Y8" s="5"/>
      <c r="Z8" s="5"/>
    </row>
    <row r="9">
      <c r="A9" s="72">
        <v>335985.0</v>
      </c>
      <c r="B9" s="72" t="s">
        <v>23</v>
      </c>
      <c r="C9" s="73">
        <v>39558.0</v>
      </c>
      <c r="D9" s="72" t="s">
        <v>258</v>
      </c>
      <c r="E9" s="72" t="s">
        <v>259</v>
      </c>
      <c r="F9" s="72">
        <v>0.0</v>
      </c>
      <c r="G9" s="72" t="s">
        <v>24</v>
      </c>
      <c r="H9" s="72" t="s">
        <v>11</v>
      </c>
      <c r="I9" s="72" t="s">
        <v>24</v>
      </c>
      <c r="J9" s="72" t="s">
        <v>18</v>
      </c>
      <c r="K9" s="72" t="s">
        <v>11</v>
      </c>
      <c r="L9" s="72" t="s">
        <v>22</v>
      </c>
      <c r="M9" s="72">
        <v>5.0</v>
      </c>
      <c r="N9" s="72" t="s">
        <v>245</v>
      </c>
      <c r="O9" s="72" t="s">
        <v>246</v>
      </c>
      <c r="P9" s="72" t="s">
        <v>260</v>
      </c>
      <c r="Q9" s="72" t="s">
        <v>261</v>
      </c>
      <c r="R9" s="66"/>
      <c r="S9" s="7" t="s">
        <v>262</v>
      </c>
      <c r="T9" s="5"/>
      <c r="U9" s="5"/>
      <c r="V9" s="5"/>
      <c r="W9" s="5"/>
      <c r="X9" s="5"/>
      <c r="Y9" s="5"/>
      <c r="Z9" s="5"/>
    </row>
    <row r="10">
      <c r="A10" s="69">
        <v>335986.0</v>
      </c>
      <c r="B10" s="69" t="s">
        <v>25</v>
      </c>
      <c r="C10" s="70">
        <v>39558.0</v>
      </c>
      <c r="D10" s="69" t="s">
        <v>263</v>
      </c>
      <c r="E10" s="69" t="s">
        <v>264</v>
      </c>
      <c r="F10" s="69">
        <v>0.0</v>
      </c>
      <c r="G10" s="69" t="s">
        <v>12</v>
      </c>
      <c r="H10" s="69" t="s">
        <v>26</v>
      </c>
      <c r="I10" s="69" t="s">
        <v>26</v>
      </c>
      <c r="J10" s="69" t="s">
        <v>18</v>
      </c>
      <c r="K10" s="69" t="s">
        <v>12</v>
      </c>
      <c r="L10" s="69" t="s">
        <v>22</v>
      </c>
      <c r="M10" s="69">
        <v>5.0</v>
      </c>
      <c r="N10" s="69" t="s">
        <v>245</v>
      </c>
      <c r="O10" s="69" t="s">
        <v>246</v>
      </c>
      <c r="P10" s="69" t="s">
        <v>265</v>
      </c>
      <c r="Q10" s="69" t="s">
        <v>266</v>
      </c>
      <c r="R10" s="66"/>
      <c r="S10" s="7" t="s">
        <v>267</v>
      </c>
      <c r="T10" s="5"/>
      <c r="U10" s="5"/>
      <c r="V10" s="5"/>
      <c r="W10" s="5"/>
      <c r="X10" s="5"/>
      <c r="Y10" s="5"/>
      <c r="Z10" s="5"/>
    </row>
    <row r="11">
      <c r="A11" s="72">
        <v>335987.0</v>
      </c>
      <c r="B11" s="72" t="s">
        <v>27</v>
      </c>
      <c r="C11" s="73">
        <v>39559.0</v>
      </c>
      <c r="D11" s="72" t="s">
        <v>268</v>
      </c>
      <c r="E11" s="72" t="s">
        <v>269</v>
      </c>
      <c r="F11" s="72">
        <v>0.0</v>
      </c>
      <c r="G11" s="72" t="s">
        <v>21</v>
      </c>
      <c r="H11" s="72" t="s">
        <v>16</v>
      </c>
      <c r="I11" s="72" t="s">
        <v>16</v>
      </c>
      <c r="J11" s="72" t="s">
        <v>18</v>
      </c>
      <c r="K11" s="72" t="s">
        <v>21</v>
      </c>
      <c r="L11" s="72" t="s">
        <v>22</v>
      </c>
      <c r="M11" s="72">
        <v>6.0</v>
      </c>
      <c r="N11" s="72" t="s">
        <v>245</v>
      </c>
      <c r="O11" s="72" t="s">
        <v>246</v>
      </c>
      <c r="P11" s="72" t="s">
        <v>256</v>
      </c>
      <c r="Q11" s="72" t="s">
        <v>270</v>
      </c>
      <c r="R11" s="66"/>
      <c r="S11" s="5"/>
      <c r="T11" s="5"/>
      <c r="U11" s="5"/>
      <c r="V11" s="5"/>
      <c r="W11" s="5"/>
      <c r="X11" s="5"/>
      <c r="Y11" s="5"/>
      <c r="Z11" s="5"/>
    </row>
    <row r="12">
      <c r="A12" s="69">
        <v>335988.0</v>
      </c>
      <c r="B12" s="69" t="s">
        <v>28</v>
      </c>
      <c r="C12" s="70">
        <v>39560.0</v>
      </c>
      <c r="D12" s="69" t="s">
        <v>271</v>
      </c>
      <c r="E12" s="69" t="s">
        <v>272</v>
      </c>
      <c r="F12" s="69">
        <v>0.0</v>
      </c>
      <c r="G12" s="69" t="s">
        <v>26</v>
      </c>
      <c r="H12" s="69" t="s">
        <v>20</v>
      </c>
      <c r="I12" s="69" t="s">
        <v>26</v>
      </c>
      <c r="J12" s="69" t="s">
        <v>18</v>
      </c>
      <c r="K12" s="69" t="s">
        <v>20</v>
      </c>
      <c r="L12" s="69" t="s">
        <v>22</v>
      </c>
      <c r="M12" s="69">
        <v>9.0</v>
      </c>
      <c r="N12" s="69" t="s">
        <v>245</v>
      </c>
      <c r="O12" s="69" t="s">
        <v>246</v>
      </c>
      <c r="P12" s="69" t="s">
        <v>273</v>
      </c>
      <c r="Q12" s="69" t="s">
        <v>274</v>
      </c>
      <c r="R12" s="66"/>
      <c r="S12" s="7"/>
      <c r="T12" s="5"/>
      <c r="U12" s="5"/>
      <c r="V12" s="5"/>
      <c r="W12" s="5"/>
      <c r="X12" s="5"/>
      <c r="Y12" s="5"/>
      <c r="Z12" s="5"/>
    </row>
    <row r="13">
      <c r="A13" s="72">
        <v>335989.0</v>
      </c>
      <c r="B13" s="72" t="s">
        <v>29</v>
      </c>
      <c r="C13" s="73">
        <v>39561.0</v>
      </c>
      <c r="D13" s="72" t="s">
        <v>275</v>
      </c>
      <c r="E13" s="72" t="s">
        <v>276</v>
      </c>
      <c r="F13" s="72">
        <v>0.0</v>
      </c>
      <c r="G13" s="72" t="s">
        <v>17</v>
      </c>
      <c r="H13" s="72" t="s">
        <v>24</v>
      </c>
      <c r="I13" s="72" t="s">
        <v>24</v>
      </c>
      <c r="J13" s="72" t="s">
        <v>13</v>
      </c>
      <c r="K13" s="72" t="s">
        <v>17</v>
      </c>
      <c r="L13" s="72" t="s">
        <v>14</v>
      </c>
      <c r="M13" s="72">
        <v>6.0</v>
      </c>
      <c r="N13" s="72" t="s">
        <v>245</v>
      </c>
      <c r="O13" s="72" t="s">
        <v>246</v>
      </c>
      <c r="P13" s="72" t="s">
        <v>261</v>
      </c>
      <c r="Q13" s="72" t="s">
        <v>257</v>
      </c>
      <c r="R13" s="66"/>
      <c r="S13" s="68" t="s">
        <v>277</v>
      </c>
      <c r="T13" s="5"/>
      <c r="U13" s="5"/>
      <c r="V13" s="5"/>
      <c r="W13" s="5"/>
      <c r="X13" s="5"/>
      <c r="Y13" s="5"/>
      <c r="Z13" s="5"/>
    </row>
    <row r="14">
      <c r="A14" s="69">
        <v>335990.0</v>
      </c>
      <c r="B14" s="69" t="s">
        <v>28</v>
      </c>
      <c r="C14" s="70">
        <v>39562.0</v>
      </c>
      <c r="D14" s="69" t="s">
        <v>278</v>
      </c>
      <c r="E14" s="69" t="s">
        <v>272</v>
      </c>
      <c r="F14" s="69">
        <v>0.0</v>
      </c>
      <c r="G14" s="69" t="s">
        <v>26</v>
      </c>
      <c r="H14" s="69" t="s">
        <v>21</v>
      </c>
      <c r="I14" s="69" t="s">
        <v>21</v>
      </c>
      <c r="J14" s="69" t="s">
        <v>13</v>
      </c>
      <c r="K14" s="69" t="s">
        <v>21</v>
      </c>
      <c r="L14" s="69" t="s">
        <v>22</v>
      </c>
      <c r="M14" s="69">
        <v>3.0</v>
      </c>
      <c r="N14" s="69" t="s">
        <v>245</v>
      </c>
      <c r="O14" s="69" t="s">
        <v>246</v>
      </c>
      <c r="P14" s="69" t="s">
        <v>247</v>
      </c>
      <c r="Q14" s="69" t="s">
        <v>252</v>
      </c>
      <c r="R14" s="66"/>
      <c r="S14" s="68" t="s">
        <v>279</v>
      </c>
      <c r="T14" s="5"/>
      <c r="U14" s="5"/>
      <c r="V14" s="5"/>
      <c r="W14" s="5"/>
      <c r="X14" s="5"/>
      <c r="Y14" s="5"/>
      <c r="Z14" s="5"/>
    </row>
    <row r="15">
      <c r="A15" s="72">
        <v>335991.0</v>
      </c>
      <c r="B15" s="72" t="s">
        <v>15</v>
      </c>
      <c r="C15" s="73">
        <v>39563.0</v>
      </c>
      <c r="D15" s="72" t="s">
        <v>280</v>
      </c>
      <c r="E15" s="72" t="s">
        <v>251</v>
      </c>
      <c r="F15" s="72">
        <v>0.0</v>
      </c>
      <c r="G15" s="72" t="s">
        <v>16</v>
      </c>
      <c r="H15" s="72" t="s">
        <v>24</v>
      </c>
      <c r="I15" s="72" t="s">
        <v>24</v>
      </c>
      <c r="J15" s="72" t="s">
        <v>13</v>
      </c>
      <c r="K15" s="72" t="s">
        <v>16</v>
      </c>
      <c r="L15" s="72" t="s">
        <v>14</v>
      </c>
      <c r="M15" s="72">
        <v>66.0</v>
      </c>
      <c r="N15" s="72" t="s">
        <v>245</v>
      </c>
      <c r="O15" s="72" t="s">
        <v>246</v>
      </c>
      <c r="P15" s="72" t="s">
        <v>256</v>
      </c>
      <c r="Q15" s="72" t="s">
        <v>274</v>
      </c>
      <c r="R15" s="66"/>
      <c r="S15" s="7"/>
      <c r="T15" s="5"/>
      <c r="U15" s="5"/>
      <c r="V15" s="5"/>
      <c r="W15" s="5"/>
      <c r="X15" s="5"/>
      <c r="Y15" s="5"/>
      <c r="Z15" s="5"/>
    </row>
    <row r="16">
      <c r="A16" s="69">
        <v>335992.0</v>
      </c>
      <c r="B16" s="69" t="s">
        <v>242</v>
      </c>
      <c r="C16" s="70">
        <v>39564.0</v>
      </c>
      <c r="D16" s="69" t="s">
        <v>268</v>
      </c>
      <c r="E16" s="69" t="s">
        <v>244</v>
      </c>
      <c r="F16" s="69">
        <v>0.0</v>
      </c>
      <c r="G16" s="69" t="s">
        <v>11</v>
      </c>
      <c r="H16" s="69" t="s">
        <v>21</v>
      </c>
      <c r="I16" s="69" t="s">
        <v>21</v>
      </c>
      <c r="J16" s="69" t="s">
        <v>13</v>
      </c>
      <c r="K16" s="69" t="s">
        <v>21</v>
      </c>
      <c r="L16" s="69" t="s">
        <v>22</v>
      </c>
      <c r="M16" s="69">
        <v>7.0</v>
      </c>
      <c r="N16" s="69" t="s">
        <v>245</v>
      </c>
      <c r="O16" s="69" t="s">
        <v>246</v>
      </c>
      <c r="P16" s="69" t="s">
        <v>252</v>
      </c>
      <c r="Q16" s="69" t="s">
        <v>273</v>
      </c>
      <c r="R16" s="66"/>
      <c r="S16" s="5"/>
      <c r="T16" s="5"/>
      <c r="U16" s="5"/>
      <c r="V16" s="5"/>
      <c r="W16" s="5"/>
      <c r="X16" s="5"/>
      <c r="Y16" s="5"/>
      <c r="Z16" s="5"/>
    </row>
    <row r="17">
      <c r="A17" s="72">
        <v>335993.0</v>
      </c>
      <c r="B17" s="72" t="s">
        <v>29</v>
      </c>
      <c r="C17" s="73">
        <v>39564.0</v>
      </c>
      <c r="D17" s="72" t="s">
        <v>281</v>
      </c>
      <c r="E17" s="72" t="s">
        <v>276</v>
      </c>
      <c r="F17" s="72">
        <v>0.0</v>
      </c>
      <c r="G17" s="72" t="s">
        <v>17</v>
      </c>
      <c r="H17" s="72" t="s">
        <v>12</v>
      </c>
      <c r="I17" s="72" t="s">
        <v>12</v>
      </c>
      <c r="J17" s="72" t="s">
        <v>18</v>
      </c>
      <c r="K17" s="72" t="s">
        <v>17</v>
      </c>
      <c r="L17" s="72" t="s">
        <v>22</v>
      </c>
      <c r="M17" s="72">
        <v>9.0</v>
      </c>
      <c r="N17" s="72" t="s">
        <v>245</v>
      </c>
      <c r="O17" s="72" t="s">
        <v>246</v>
      </c>
      <c r="P17" s="72" t="s">
        <v>265</v>
      </c>
      <c r="Q17" s="72" t="s">
        <v>282</v>
      </c>
      <c r="R17" s="66"/>
      <c r="S17" s="7" t="s">
        <v>283</v>
      </c>
      <c r="T17" s="5"/>
      <c r="U17" s="5"/>
      <c r="V17" s="5"/>
      <c r="W17" s="5"/>
      <c r="X17" s="5"/>
      <c r="Y17" s="5"/>
      <c r="Z17" s="5"/>
    </row>
    <row r="18">
      <c r="A18" s="69">
        <v>335994.0</v>
      </c>
      <c r="B18" s="69" t="s">
        <v>23</v>
      </c>
      <c r="C18" s="70">
        <v>39565.0</v>
      </c>
      <c r="D18" s="69" t="s">
        <v>284</v>
      </c>
      <c r="E18" s="69" t="s">
        <v>285</v>
      </c>
      <c r="F18" s="69">
        <v>0.0</v>
      </c>
      <c r="G18" s="69" t="s">
        <v>24</v>
      </c>
      <c r="H18" s="69" t="s">
        <v>26</v>
      </c>
      <c r="I18" s="69" t="s">
        <v>26</v>
      </c>
      <c r="J18" s="69" t="s">
        <v>13</v>
      </c>
      <c r="K18" s="69" t="s">
        <v>26</v>
      </c>
      <c r="L18" s="69" t="s">
        <v>22</v>
      </c>
      <c r="M18" s="69">
        <v>10.0</v>
      </c>
      <c r="N18" s="69" t="s">
        <v>245</v>
      </c>
      <c r="O18" s="69" t="s">
        <v>246</v>
      </c>
      <c r="P18" s="69" t="s">
        <v>247</v>
      </c>
      <c r="Q18" s="69" t="s">
        <v>253</v>
      </c>
      <c r="R18" s="66"/>
      <c r="S18" s="7" t="s">
        <v>286</v>
      </c>
      <c r="T18" s="5"/>
      <c r="U18" s="5"/>
      <c r="V18" s="5"/>
      <c r="W18" s="5"/>
      <c r="X18" s="5"/>
      <c r="Y18" s="5"/>
      <c r="Z18" s="5"/>
    </row>
    <row r="19">
      <c r="A19" s="72">
        <v>335995.0</v>
      </c>
      <c r="B19" s="72" t="s">
        <v>15</v>
      </c>
      <c r="C19" s="73">
        <v>39565.0</v>
      </c>
      <c r="D19" s="72" t="s">
        <v>287</v>
      </c>
      <c r="E19" s="72" t="s">
        <v>251</v>
      </c>
      <c r="F19" s="72">
        <v>0.0</v>
      </c>
      <c r="G19" s="72" t="s">
        <v>16</v>
      </c>
      <c r="H19" s="72" t="s">
        <v>20</v>
      </c>
      <c r="I19" s="72" t="s">
        <v>20</v>
      </c>
      <c r="J19" s="72" t="s">
        <v>18</v>
      </c>
      <c r="K19" s="72" t="s">
        <v>16</v>
      </c>
      <c r="L19" s="72" t="s">
        <v>22</v>
      </c>
      <c r="M19" s="72">
        <v>4.0</v>
      </c>
      <c r="N19" s="72" t="s">
        <v>245</v>
      </c>
      <c r="O19" s="72" t="s">
        <v>246</v>
      </c>
      <c r="P19" s="72" t="s">
        <v>248</v>
      </c>
      <c r="Q19" s="72" t="s">
        <v>288</v>
      </c>
      <c r="R19" s="66"/>
      <c r="S19" s="5"/>
      <c r="T19" s="5"/>
      <c r="U19" s="5"/>
      <c r="V19" s="5"/>
      <c r="W19" s="5"/>
      <c r="X19" s="5"/>
      <c r="Y19" s="5"/>
      <c r="Z19" s="5"/>
    </row>
    <row r="20">
      <c r="A20" s="69">
        <v>335996.0</v>
      </c>
      <c r="B20" s="69" t="s">
        <v>242</v>
      </c>
      <c r="C20" s="70">
        <v>39566.0</v>
      </c>
      <c r="D20" s="69" t="s">
        <v>289</v>
      </c>
      <c r="E20" s="69" t="s">
        <v>244</v>
      </c>
      <c r="F20" s="69">
        <v>0.0</v>
      </c>
      <c r="G20" s="69" t="s">
        <v>11</v>
      </c>
      <c r="H20" s="69" t="s">
        <v>17</v>
      </c>
      <c r="I20" s="69" t="s">
        <v>17</v>
      </c>
      <c r="J20" s="69" t="s">
        <v>18</v>
      </c>
      <c r="K20" s="69" t="s">
        <v>17</v>
      </c>
      <c r="L20" s="69" t="s">
        <v>14</v>
      </c>
      <c r="M20" s="69">
        <v>13.0</v>
      </c>
      <c r="N20" s="69" t="s">
        <v>245</v>
      </c>
      <c r="O20" s="69" t="s">
        <v>246</v>
      </c>
      <c r="P20" s="69" t="s">
        <v>290</v>
      </c>
      <c r="Q20" s="69" t="s">
        <v>270</v>
      </c>
      <c r="R20" s="66"/>
      <c r="S20" s="5"/>
      <c r="T20" s="5"/>
      <c r="U20" s="5"/>
      <c r="V20" s="5"/>
      <c r="W20" s="5"/>
      <c r="X20" s="5"/>
      <c r="Y20" s="5"/>
      <c r="Z20" s="5"/>
    </row>
    <row r="21">
      <c r="A21" s="72"/>
      <c r="B21" s="72"/>
      <c r="C21" s="73"/>
      <c r="D21" s="72"/>
      <c r="E21" s="72"/>
      <c r="F21" s="72"/>
      <c r="G21" s="72"/>
      <c r="H21" s="72"/>
      <c r="I21" s="72"/>
      <c r="J21" s="72"/>
      <c r="K21" s="72"/>
      <c r="L21" s="72"/>
      <c r="M21" s="72"/>
      <c r="N21" s="72"/>
      <c r="O21" s="72"/>
      <c r="P21" s="72"/>
      <c r="Q21" s="72"/>
      <c r="R21" s="66"/>
      <c r="S21" s="7" t="s">
        <v>291</v>
      </c>
      <c r="T21" s="5"/>
      <c r="U21" s="5"/>
      <c r="V21" s="5"/>
      <c r="W21" s="5"/>
      <c r="X21" s="5"/>
      <c r="Y21" s="5"/>
      <c r="Z21" s="5"/>
    </row>
    <row r="22">
      <c r="A22" s="41" t="s">
        <v>292</v>
      </c>
      <c r="B22" s="5"/>
      <c r="C22" s="5"/>
      <c r="D22" s="5"/>
      <c r="E22" s="5"/>
      <c r="F22" s="5"/>
      <c r="G22" s="5"/>
      <c r="H22" s="5"/>
      <c r="I22" s="5"/>
      <c r="J22" s="5"/>
      <c r="K22" s="5"/>
      <c r="L22" s="5"/>
      <c r="M22" s="5"/>
      <c r="N22" s="5"/>
      <c r="O22" s="5"/>
      <c r="P22" s="5"/>
      <c r="Q22" s="5"/>
      <c r="R22" s="66"/>
      <c r="S22" s="5"/>
      <c r="T22" s="5"/>
      <c r="U22" s="5"/>
      <c r="V22" s="5"/>
      <c r="W22" s="5"/>
      <c r="X22" s="5"/>
      <c r="Y22" s="5"/>
      <c r="Z22" s="5"/>
    </row>
    <row r="23">
      <c r="A23" s="74" t="s">
        <v>0</v>
      </c>
      <c r="B23" s="75" t="s">
        <v>293</v>
      </c>
      <c r="C23" s="75" t="s">
        <v>294</v>
      </c>
      <c r="D23" s="75" t="s">
        <v>295</v>
      </c>
      <c r="E23" s="75" t="s">
        <v>296</v>
      </c>
      <c r="F23" s="75" t="s">
        <v>297</v>
      </c>
      <c r="G23" s="75" t="s">
        <v>298</v>
      </c>
      <c r="H23" s="75" t="s">
        <v>299</v>
      </c>
      <c r="I23" s="75" t="s">
        <v>300</v>
      </c>
      <c r="J23" s="75" t="s">
        <v>301</v>
      </c>
      <c r="K23" s="75" t="s">
        <v>302</v>
      </c>
      <c r="L23" s="75" t="s">
        <v>303</v>
      </c>
      <c r="M23" s="75" t="s">
        <v>304</v>
      </c>
      <c r="N23" s="75" t="s">
        <v>305</v>
      </c>
      <c r="O23" s="75" t="s">
        <v>306</v>
      </c>
      <c r="P23" s="75" t="s">
        <v>307</v>
      </c>
      <c r="Q23" s="75" t="s">
        <v>308</v>
      </c>
      <c r="R23" s="76" t="s">
        <v>309</v>
      </c>
      <c r="S23" s="5"/>
      <c r="T23" s="5"/>
      <c r="U23" s="5"/>
      <c r="V23" s="5"/>
      <c r="W23" s="5"/>
      <c r="X23" s="5"/>
      <c r="Y23" s="5"/>
      <c r="Z23" s="5"/>
    </row>
    <row r="24">
      <c r="A24" s="77">
        <v>1216531.0</v>
      </c>
      <c r="B24" s="78">
        <v>1.0</v>
      </c>
      <c r="C24" s="78">
        <v>0.0</v>
      </c>
      <c r="D24" s="78">
        <v>1.0</v>
      </c>
      <c r="E24" s="78" t="s">
        <v>310</v>
      </c>
      <c r="F24" s="78" t="s">
        <v>311</v>
      </c>
      <c r="G24" s="78" t="s">
        <v>312</v>
      </c>
      <c r="H24" s="78">
        <v>1.0</v>
      </c>
      <c r="I24" s="78">
        <v>0.0</v>
      </c>
      <c r="J24" s="78">
        <v>1.0</v>
      </c>
      <c r="K24" s="78">
        <v>0.0</v>
      </c>
      <c r="L24" s="78">
        <v>0.0</v>
      </c>
      <c r="M24" s="78" t="s">
        <v>246</v>
      </c>
      <c r="N24" s="78" t="s">
        <v>246</v>
      </c>
      <c r="O24" s="78" t="s">
        <v>246</v>
      </c>
      <c r="P24" s="78" t="s">
        <v>246</v>
      </c>
      <c r="Q24" s="78" t="s">
        <v>11</v>
      </c>
      <c r="R24" s="79" t="s">
        <v>16</v>
      </c>
      <c r="S24" s="7" t="s">
        <v>313</v>
      </c>
      <c r="T24" s="5"/>
      <c r="U24" s="5"/>
      <c r="V24" s="5"/>
      <c r="W24" s="5"/>
      <c r="X24" s="5"/>
      <c r="Y24" s="5"/>
      <c r="Z24" s="5"/>
    </row>
    <row r="25">
      <c r="A25" s="80">
        <v>1216531.0</v>
      </c>
      <c r="B25" s="81">
        <v>1.0</v>
      </c>
      <c r="C25" s="81">
        <v>0.0</v>
      </c>
      <c r="D25" s="81">
        <v>2.0</v>
      </c>
      <c r="E25" s="81" t="s">
        <v>311</v>
      </c>
      <c r="F25" s="81" t="s">
        <v>310</v>
      </c>
      <c r="G25" s="81" t="s">
        <v>312</v>
      </c>
      <c r="H25" s="81">
        <v>0.0</v>
      </c>
      <c r="I25" s="81">
        <v>0.0</v>
      </c>
      <c r="J25" s="81">
        <v>0.0</v>
      </c>
      <c r="K25" s="81">
        <v>0.0</v>
      </c>
      <c r="L25" s="81">
        <v>0.0</v>
      </c>
      <c r="M25" s="81" t="s">
        <v>246</v>
      </c>
      <c r="N25" s="81" t="s">
        <v>246</v>
      </c>
      <c r="O25" s="81" t="s">
        <v>246</v>
      </c>
      <c r="P25" s="81" t="s">
        <v>246</v>
      </c>
      <c r="Q25" s="81" t="s">
        <v>11</v>
      </c>
      <c r="R25" s="82" t="s">
        <v>16</v>
      </c>
      <c r="S25" s="7" t="s">
        <v>314</v>
      </c>
      <c r="T25" s="5"/>
      <c r="U25" s="5"/>
      <c r="V25" s="5"/>
      <c r="W25" s="5"/>
      <c r="X25" s="5"/>
      <c r="Y25" s="5"/>
      <c r="Z25" s="5"/>
    </row>
    <row r="26">
      <c r="A26" s="77">
        <v>1216531.0</v>
      </c>
      <c r="B26" s="78">
        <v>1.0</v>
      </c>
      <c r="C26" s="78">
        <v>0.0</v>
      </c>
      <c r="D26" s="78">
        <v>3.0</v>
      </c>
      <c r="E26" s="78" t="s">
        <v>311</v>
      </c>
      <c r="F26" s="78" t="s">
        <v>310</v>
      </c>
      <c r="G26" s="78" t="s">
        <v>312</v>
      </c>
      <c r="H26" s="78">
        <v>0.0</v>
      </c>
      <c r="I26" s="78">
        <v>0.0</v>
      </c>
      <c r="J26" s="78">
        <v>0.0</v>
      </c>
      <c r="K26" s="78">
        <v>0.0</v>
      </c>
      <c r="L26" s="78">
        <v>0.0</v>
      </c>
      <c r="M26" s="78" t="s">
        <v>246</v>
      </c>
      <c r="N26" s="78" t="s">
        <v>246</v>
      </c>
      <c r="O26" s="78" t="s">
        <v>246</v>
      </c>
      <c r="P26" s="78" t="s">
        <v>246</v>
      </c>
      <c r="Q26" s="78" t="s">
        <v>11</v>
      </c>
      <c r="R26" s="79" t="s">
        <v>16</v>
      </c>
      <c r="S26" s="5"/>
      <c r="T26" s="5"/>
      <c r="U26" s="5"/>
      <c r="V26" s="5"/>
      <c r="W26" s="5"/>
      <c r="X26" s="5"/>
      <c r="Y26" s="5"/>
      <c r="Z26" s="5"/>
    </row>
    <row r="27">
      <c r="A27" s="80">
        <v>1216531.0</v>
      </c>
      <c r="B27" s="81">
        <v>1.0</v>
      </c>
      <c r="C27" s="81">
        <v>0.0</v>
      </c>
      <c r="D27" s="81">
        <v>4.0</v>
      </c>
      <c r="E27" s="81" t="s">
        <v>311</v>
      </c>
      <c r="F27" s="81" t="s">
        <v>310</v>
      </c>
      <c r="G27" s="81" t="s">
        <v>312</v>
      </c>
      <c r="H27" s="81">
        <v>1.0</v>
      </c>
      <c r="I27" s="81">
        <v>0.0</v>
      </c>
      <c r="J27" s="81">
        <v>1.0</v>
      </c>
      <c r="K27" s="81">
        <v>0.0</v>
      </c>
      <c r="L27" s="81">
        <v>0.0</v>
      </c>
      <c r="M27" s="81" t="s">
        <v>246</v>
      </c>
      <c r="N27" s="81" t="s">
        <v>246</v>
      </c>
      <c r="O27" s="81" t="s">
        <v>246</v>
      </c>
      <c r="P27" s="81" t="s">
        <v>246</v>
      </c>
      <c r="Q27" s="81" t="s">
        <v>11</v>
      </c>
      <c r="R27" s="82" t="s">
        <v>16</v>
      </c>
      <c r="S27" s="5"/>
      <c r="T27" s="5"/>
      <c r="U27" s="5"/>
      <c r="V27" s="5"/>
      <c r="W27" s="5"/>
      <c r="X27" s="5"/>
      <c r="Y27" s="5"/>
      <c r="Z27" s="5"/>
    </row>
    <row r="28">
      <c r="A28" s="77">
        <v>1216531.0</v>
      </c>
      <c r="B28" s="78">
        <v>1.0</v>
      </c>
      <c r="C28" s="78">
        <v>0.0</v>
      </c>
      <c r="D28" s="78">
        <v>5.0</v>
      </c>
      <c r="E28" s="78" t="s">
        <v>310</v>
      </c>
      <c r="F28" s="78" t="s">
        <v>311</v>
      </c>
      <c r="G28" s="78" t="s">
        <v>312</v>
      </c>
      <c r="H28" s="78">
        <v>0.0</v>
      </c>
      <c r="I28" s="78">
        <v>0.0</v>
      </c>
      <c r="J28" s="78">
        <v>0.0</v>
      </c>
      <c r="K28" s="78">
        <v>0.0</v>
      </c>
      <c r="L28" s="78">
        <v>0.0</v>
      </c>
      <c r="M28" s="78" t="s">
        <v>246</v>
      </c>
      <c r="N28" s="78" t="s">
        <v>246</v>
      </c>
      <c r="O28" s="78" t="s">
        <v>246</v>
      </c>
      <c r="P28" s="78" t="s">
        <v>246</v>
      </c>
      <c r="Q28" s="78" t="s">
        <v>11</v>
      </c>
      <c r="R28" s="79" t="s">
        <v>16</v>
      </c>
      <c r="S28" s="7" t="s">
        <v>315</v>
      </c>
      <c r="T28" s="5"/>
      <c r="U28" s="5"/>
      <c r="V28" s="5"/>
      <c r="W28" s="5"/>
      <c r="X28" s="5"/>
      <c r="Y28" s="5"/>
      <c r="Z28" s="5"/>
    </row>
    <row r="29">
      <c r="A29" s="80">
        <v>1216531.0</v>
      </c>
      <c r="B29" s="81">
        <v>1.0</v>
      </c>
      <c r="C29" s="81">
        <v>0.0</v>
      </c>
      <c r="D29" s="81">
        <v>6.0</v>
      </c>
      <c r="E29" s="81" t="s">
        <v>310</v>
      </c>
      <c r="F29" s="81" t="s">
        <v>311</v>
      </c>
      <c r="G29" s="81" t="s">
        <v>312</v>
      </c>
      <c r="H29" s="81">
        <v>6.0</v>
      </c>
      <c r="I29" s="81">
        <v>0.0</v>
      </c>
      <c r="J29" s="81">
        <v>6.0</v>
      </c>
      <c r="K29" s="81">
        <v>0.0</v>
      </c>
      <c r="L29" s="81">
        <v>0.0</v>
      </c>
      <c r="M29" s="81" t="s">
        <v>246</v>
      </c>
      <c r="N29" s="81" t="s">
        <v>246</v>
      </c>
      <c r="O29" s="81" t="s">
        <v>246</v>
      </c>
      <c r="P29" s="81" t="s">
        <v>246</v>
      </c>
      <c r="Q29" s="81" t="s">
        <v>11</v>
      </c>
      <c r="R29" s="82" t="s">
        <v>16</v>
      </c>
      <c r="S29" s="7" t="s">
        <v>316</v>
      </c>
      <c r="T29" s="5"/>
      <c r="U29" s="5"/>
      <c r="V29" s="5"/>
      <c r="W29" s="5"/>
      <c r="X29" s="5"/>
      <c r="Y29" s="5"/>
      <c r="Z29" s="5"/>
    </row>
    <row r="30">
      <c r="A30" s="77">
        <v>1216531.0</v>
      </c>
      <c r="B30" s="78">
        <v>1.0</v>
      </c>
      <c r="C30" s="78">
        <v>1.0</v>
      </c>
      <c r="D30" s="78">
        <v>3.0</v>
      </c>
      <c r="E30" s="78" t="s">
        <v>310</v>
      </c>
      <c r="F30" s="78" t="s">
        <v>311</v>
      </c>
      <c r="G30" s="78" t="s">
        <v>317</v>
      </c>
      <c r="H30" s="78">
        <v>0.0</v>
      </c>
      <c r="I30" s="78">
        <v>0.0</v>
      </c>
      <c r="J30" s="78">
        <v>0.0</v>
      </c>
      <c r="K30" s="78">
        <v>0.0</v>
      </c>
      <c r="L30" s="78">
        <v>0.0</v>
      </c>
      <c r="M30" s="78" t="s">
        <v>246</v>
      </c>
      <c r="N30" s="78" t="s">
        <v>246</v>
      </c>
      <c r="O30" s="78" t="s">
        <v>246</v>
      </c>
      <c r="P30" s="78" t="s">
        <v>246</v>
      </c>
      <c r="Q30" s="78" t="s">
        <v>11</v>
      </c>
      <c r="R30" s="79" t="s">
        <v>16</v>
      </c>
      <c r="S30" s="7" t="s">
        <v>318</v>
      </c>
      <c r="T30" s="5"/>
      <c r="U30" s="5"/>
      <c r="V30" s="5"/>
      <c r="W30" s="5"/>
      <c r="X30" s="5"/>
      <c r="Y30" s="5"/>
      <c r="Z30" s="5"/>
    </row>
    <row r="31">
      <c r="A31" s="80">
        <v>1216531.0</v>
      </c>
      <c r="B31" s="81">
        <v>1.0</v>
      </c>
      <c r="C31" s="81">
        <v>1.0</v>
      </c>
      <c r="D31" s="81">
        <v>4.0</v>
      </c>
      <c r="E31" s="81" t="s">
        <v>310</v>
      </c>
      <c r="F31" s="81" t="s">
        <v>311</v>
      </c>
      <c r="G31" s="81" t="s">
        <v>317</v>
      </c>
      <c r="H31" s="81">
        <v>0.0</v>
      </c>
      <c r="I31" s="81">
        <v>0.0</v>
      </c>
      <c r="J31" s="81">
        <v>0.0</v>
      </c>
      <c r="K31" s="81">
        <v>0.0</v>
      </c>
      <c r="L31" s="81">
        <v>0.0</v>
      </c>
      <c r="M31" s="81" t="s">
        <v>246</v>
      </c>
      <c r="N31" s="81" t="s">
        <v>246</v>
      </c>
      <c r="O31" s="81" t="s">
        <v>246</v>
      </c>
      <c r="P31" s="81" t="s">
        <v>246</v>
      </c>
      <c r="Q31" s="81" t="s">
        <v>11</v>
      </c>
      <c r="R31" s="82" t="s">
        <v>16</v>
      </c>
      <c r="S31" s="5"/>
      <c r="T31" s="5"/>
      <c r="U31" s="5"/>
      <c r="V31" s="5"/>
      <c r="W31" s="5"/>
      <c r="X31" s="5"/>
      <c r="Y31" s="5"/>
      <c r="Z31" s="5"/>
    </row>
    <row r="32">
      <c r="A32" s="77">
        <v>1216531.0</v>
      </c>
      <c r="B32" s="78">
        <v>1.0</v>
      </c>
      <c r="C32" s="78">
        <v>1.0</v>
      </c>
      <c r="D32" s="78">
        <v>5.0</v>
      </c>
      <c r="E32" s="78" t="s">
        <v>310</v>
      </c>
      <c r="F32" s="78" t="s">
        <v>311</v>
      </c>
      <c r="G32" s="78" t="s">
        <v>317</v>
      </c>
      <c r="H32" s="78">
        <v>4.0</v>
      </c>
      <c r="I32" s="78">
        <v>0.0</v>
      </c>
      <c r="J32" s="78">
        <v>4.0</v>
      </c>
      <c r="K32" s="78">
        <v>0.0</v>
      </c>
      <c r="L32" s="78">
        <v>0.0</v>
      </c>
      <c r="M32" s="78" t="s">
        <v>246</v>
      </c>
      <c r="N32" s="78" t="s">
        <v>246</v>
      </c>
      <c r="O32" s="78" t="s">
        <v>246</v>
      </c>
      <c r="P32" s="78" t="s">
        <v>246</v>
      </c>
      <c r="Q32" s="78" t="s">
        <v>11</v>
      </c>
      <c r="R32" s="79" t="s">
        <v>16</v>
      </c>
      <c r="S32" s="5"/>
      <c r="T32" s="5"/>
      <c r="U32" s="5"/>
      <c r="V32" s="5"/>
      <c r="W32" s="5"/>
      <c r="X32" s="5"/>
      <c r="Y32" s="5"/>
      <c r="Z32" s="5"/>
    </row>
    <row r="33">
      <c r="A33" s="80">
        <v>1216531.0</v>
      </c>
      <c r="B33" s="81">
        <v>1.0</v>
      </c>
      <c r="C33" s="81">
        <v>1.0</v>
      </c>
      <c r="D33" s="81">
        <v>6.0</v>
      </c>
      <c r="E33" s="81" t="s">
        <v>310</v>
      </c>
      <c r="F33" s="81" t="s">
        <v>311</v>
      </c>
      <c r="G33" s="81" t="s">
        <v>317</v>
      </c>
      <c r="H33" s="81">
        <v>1.0</v>
      </c>
      <c r="I33" s="81">
        <v>0.0</v>
      </c>
      <c r="J33" s="81">
        <v>1.0</v>
      </c>
      <c r="K33" s="81">
        <v>0.0</v>
      </c>
      <c r="L33" s="81">
        <v>0.0</v>
      </c>
      <c r="M33" s="81" t="s">
        <v>246</v>
      </c>
      <c r="N33" s="81" t="s">
        <v>246</v>
      </c>
      <c r="O33" s="81" t="s">
        <v>246</v>
      </c>
      <c r="P33" s="81" t="s">
        <v>246</v>
      </c>
      <c r="Q33" s="81" t="s">
        <v>11</v>
      </c>
      <c r="R33" s="82" t="s">
        <v>16</v>
      </c>
      <c r="S33" s="7" t="s">
        <v>319</v>
      </c>
      <c r="T33" s="5"/>
      <c r="U33" s="5"/>
      <c r="V33" s="5"/>
      <c r="W33" s="5"/>
      <c r="X33" s="5"/>
      <c r="Y33" s="5"/>
      <c r="Z33" s="5"/>
    </row>
    <row r="34">
      <c r="A34" s="77">
        <v>1216531.0</v>
      </c>
      <c r="B34" s="78">
        <v>1.0</v>
      </c>
      <c r="C34" s="78">
        <v>1.0</v>
      </c>
      <c r="D34" s="78">
        <v>1.0</v>
      </c>
      <c r="E34" s="78" t="s">
        <v>311</v>
      </c>
      <c r="F34" s="78" t="s">
        <v>310</v>
      </c>
      <c r="G34" s="78" t="s">
        <v>317</v>
      </c>
      <c r="H34" s="78">
        <v>1.0</v>
      </c>
      <c r="I34" s="78">
        <v>0.0</v>
      </c>
      <c r="J34" s="78">
        <v>1.0</v>
      </c>
      <c r="K34" s="78">
        <v>0.0</v>
      </c>
      <c r="L34" s="78">
        <v>0.0</v>
      </c>
      <c r="M34" s="78" t="s">
        <v>246</v>
      </c>
      <c r="N34" s="78" t="s">
        <v>246</v>
      </c>
      <c r="O34" s="78" t="s">
        <v>246</v>
      </c>
      <c r="P34" s="78" t="s">
        <v>246</v>
      </c>
      <c r="Q34" s="78" t="s">
        <v>11</v>
      </c>
      <c r="R34" s="79" t="s">
        <v>16</v>
      </c>
      <c r="S34" s="7" t="s">
        <v>320</v>
      </c>
      <c r="T34" s="5"/>
      <c r="U34" s="5"/>
      <c r="V34" s="5"/>
      <c r="W34" s="5"/>
      <c r="X34" s="5"/>
      <c r="Y34" s="5"/>
      <c r="Z34" s="5"/>
    </row>
    <row r="35">
      <c r="A35" s="80">
        <v>1216531.0</v>
      </c>
      <c r="B35" s="81">
        <v>1.0</v>
      </c>
      <c r="C35" s="81">
        <v>1.0</v>
      </c>
      <c r="D35" s="81">
        <v>2.0</v>
      </c>
      <c r="E35" s="81" t="s">
        <v>310</v>
      </c>
      <c r="F35" s="81" t="s">
        <v>311</v>
      </c>
      <c r="G35" s="81" t="s">
        <v>317</v>
      </c>
      <c r="H35" s="81">
        <v>0.0</v>
      </c>
      <c r="I35" s="81">
        <v>4.0</v>
      </c>
      <c r="J35" s="81">
        <v>4.0</v>
      </c>
      <c r="K35" s="81">
        <v>0.0</v>
      </c>
      <c r="L35" s="81">
        <v>0.0</v>
      </c>
      <c r="M35" s="81" t="s">
        <v>246</v>
      </c>
      <c r="N35" s="81" t="s">
        <v>246</v>
      </c>
      <c r="O35" s="81" t="s">
        <v>246</v>
      </c>
      <c r="P35" s="81" t="s">
        <v>321</v>
      </c>
      <c r="Q35" s="81" t="s">
        <v>11</v>
      </c>
      <c r="R35" s="82" t="s">
        <v>16</v>
      </c>
      <c r="S35" s="5"/>
      <c r="T35" s="5"/>
      <c r="U35" s="5"/>
      <c r="V35" s="5"/>
      <c r="W35" s="5"/>
      <c r="X35" s="5"/>
      <c r="Y35" s="5"/>
      <c r="Z35" s="5"/>
    </row>
    <row r="36">
      <c r="A36" s="77">
        <v>1216531.0</v>
      </c>
      <c r="B36" s="78">
        <v>1.0</v>
      </c>
      <c r="C36" s="78">
        <v>2.0</v>
      </c>
      <c r="D36" s="78">
        <v>1.0</v>
      </c>
      <c r="E36" s="78" t="s">
        <v>310</v>
      </c>
      <c r="F36" s="78" t="s">
        <v>311</v>
      </c>
      <c r="G36" s="78" t="s">
        <v>322</v>
      </c>
      <c r="H36" s="78">
        <v>0.0</v>
      </c>
      <c r="I36" s="78">
        <v>0.0</v>
      </c>
      <c r="J36" s="78">
        <v>0.0</v>
      </c>
      <c r="K36" s="78">
        <v>0.0</v>
      </c>
      <c r="L36" s="78">
        <v>0.0</v>
      </c>
      <c r="M36" s="78" t="s">
        <v>246</v>
      </c>
      <c r="N36" s="78" t="s">
        <v>246</v>
      </c>
      <c r="O36" s="78" t="s">
        <v>246</v>
      </c>
      <c r="P36" s="78" t="s">
        <v>246</v>
      </c>
      <c r="Q36" s="78" t="s">
        <v>11</v>
      </c>
      <c r="R36" s="79" t="s">
        <v>16</v>
      </c>
      <c r="S36" s="5"/>
      <c r="T36" s="5"/>
      <c r="U36" s="5"/>
      <c r="V36" s="5"/>
      <c r="W36" s="5"/>
      <c r="X36" s="5"/>
      <c r="Y36" s="5"/>
      <c r="Z36" s="5"/>
    </row>
    <row r="37">
      <c r="A37" s="80">
        <v>1216531.0</v>
      </c>
      <c r="B37" s="81">
        <v>1.0</v>
      </c>
      <c r="C37" s="81">
        <v>2.0</v>
      </c>
      <c r="D37" s="81">
        <v>2.0</v>
      </c>
      <c r="E37" s="81" t="s">
        <v>310</v>
      </c>
      <c r="F37" s="81" t="s">
        <v>311</v>
      </c>
      <c r="G37" s="81" t="s">
        <v>322</v>
      </c>
      <c r="H37" s="81">
        <v>0.0</v>
      </c>
      <c r="I37" s="81">
        <v>0.0</v>
      </c>
      <c r="J37" s="81">
        <v>0.0</v>
      </c>
      <c r="K37" s="81">
        <v>0.0</v>
      </c>
      <c r="L37" s="81">
        <v>0.0</v>
      </c>
      <c r="M37" s="81" t="s">
        <v>246</v>
      </c>
      <c r="N37" s="81" t="s">
        <v>246</v>
      </c>
      <c r="O37" s="81" t="s">
        <v>246</v>
      </c>
      <c r="P37" s="81" t="s">
        <v>246</v>
      </c>
      <c r="Q37" s="81" t="s">
        <v>11</v>
      </c>
      <c r="R37" s="82" t="s">
        <v>16</v>
      </c>
      <c r="S37" s="7" t="s">
        <v>323</v>
      </c>
      <c r="T37" s="5"/>
      <c r="U37" s="5"/>
      <c r="V37" s="5"/>
      <c r="W37" s="5"/>
      <c r="X37" s="5"/>
      <c r="Y37" s="5"/>
      <c r="Z37" s="5"/>
    </row>
    <row r="38">
      <c r="A38" s="5"/>
      <c r="B38" s="5"/>
      <c r="C38" s="5"/>
      <c r="D38" s="5"/>
      <c r="E38" s="5"/>
      <c r="F38" s="5"/>
      <c r="G38" s="5"/>
      <c r="H38" s="5"/>
      <c r="I38" s="5"/>
      <c r="J38" s="5"/>
      <c r="K38" s="5"/>
      <c r="L38" s="5"/>
      <c r="M38" s="5"/>
      <c r="N38" s="5"/>
      <c r="O38" s="5"/>
      <c r="P38" s="5"/>
      <c r="Q38" s="5"/>
      <c r="R38" s="66"/>
      <c r="S38" s="7" t="s">
        <v>324</v>
      </c>
      <c r="T38" s="5"/>
      <c r="U38" s="5"/>
      <c r="V38" s="5"/>
      <c r="W38" s="5"/>
      <c r="X38" s="5"/>
      <c r="Y38" s="5"/>
      <c r="Z38" s="5"/>
    </row>
    <row r="39">
      <c r="A39" s="5"/>
      <c r="B39" s="5"/>
      <c r="C39" s="5"/>
      <c r="D39" s="5"/>
      <c r="E39" s="5"/>
      <c r="F39" s="5"/>
      <c r="G39" s="5"/>
      <c r="H39" s="5"/>
      <c r="I39" s="5"/>
      <c r="J39" s="5"/>
      <c r="K39" s="5"/>
      <c r="L39" s="5"/>
      <c r="M39" s="5"/>
      <c r="N39" s="5"/>
      <c r="O39" s="5"/>
      <c r="P39" s="5"/>
      <c r="Q39" s="5"/>
      <c r="R39" s="66"/>
      <c r="S39" s="5"/>
      <c r="T39" s="5"/>
      <c r="U39" s="5"/>
      <c r="V39" s="5"/>
      <c r="W39" s="5"/>
      <c r="X39" s="5"/>
      <c r="Y39" s="5"/>
      <c r="Z39" s="5"/>
    </row>
    <row r="40">
      <c r="A40" s="7" t="s">
        <v>325</v>
      </c>
      <c r="B40" s="5"/>
      <c r="C40" s="5"/>
      <c r="D40" s="5"/>
      <c r="E40" s="5"/>
      <c r="F40" s="5"/>
      <c r="G40" s="5"/>
      <c r="H40" s="5"/>
      <c r="I40" s="5"/>
      <c r="J40" s="5"/>
      <c r="K40" s="5"/>
      <c r="L40" s="5"/>
      <c r="M40" s="5"/>
      <c r="N40" s="5"/>
      <c r="O40" s="5"/>
      <c r="P40" s="5"/>
      <c r="Q40" s="5"/>
      <c r="R40" s="66"/>
      <c r="S40" s="5"/>
      <c r="T40" s="5"/>
      <c r="U40" s="5"/>
      <c r="V40" s="5"/>
      <c r="W40" s="5"/>
      <c r="X40" s="5"/>
      <c r="Y40" s="5"/>
      <c r="Z40" s="5"/>
    </row>
    <row r="41">
      <c r="A41" s="83" t="s">
        <v>326</v>
      </c>
      <c r="B41" s="84" t="s">
        <v>17</v>
      </c>
      <c r="C41" s="84" t="s">
        <v>24</v>
      </c>
      <c r="D41" s="85" t="s">
        <v>11</v>
      </c>
      <c r="E41" s="5"/>
      <c r="F41" s="5"/>
      <c r="G41" s="5"/>
      <c r="H41" s="5"/>
      <c r="I41" s="5"/>
      <c r="J41" s="5"/>
      <c r="K41" s="5"/>
      <c r="L41" s="5"/>
      <c r="M41" s="5"/>
      <c r="N41" s="5"/>
      <c r="O41" s="5"/>
      <c r="P41" s="5"/>
      <c r="Q41" s="5"/>
      <c r="R41" s="66"/>
      <c r="S41" s="7" t="s">
        <v>327</v>
      </c>
      <c r="T41" s="5"/>
      <c r="U41" s="5"/>
      <c r="V41" s="5"/>
      <c r="W41" s="5"/>
      <c r="X41" s="5"/>
      <c r="Y41" s="5"/>
      <c r="Z41" s="5"/>
    </row>
    <row r="42">
      <c r="A42" s="86" t="s">
        <v>328</v>
      </c>
      <c r="B42" s="87">
        <v>106.0</v>
      </c>
      <c r="C42" s="87">
        <v>120.0</v>
      </c>
      <c r="D42" s="88">
        <v>91.0</v>
      </c>
      <c r="E42" s="5"/>
      <c r="F42" s="5"/>
      <c r="G42" s="5"/>
      <c r="H42" s="5"/>
      <c r="I42" s="5"/>
      <c r="J42" s="5"/>
      <c r="K42" s="5"/>
      <c r="L42" s="5"/>
      <c r="M42" s="5"/>
      <c r="N42" s="5"/>
      <c r="O42" s="5"/>
      <c r="P42" s="5"/>
      <c r="Q42" s="5"/>
      <c r="R42" s="66"/>
      <c r="S42" s="7" t="s">
        <v>329</v>
      </c>
      <c r="T42" s="5"/>
      <c r="U42" s="5"/>
      <c r="V42" s="5"/>
      <c r="W42" s="5"/>
      <c r="X42" s="5"/>
      <c r="Y42" s="5"/>
      <c r="Z42" s="5"/>
    </row>
    <row r="43">
      <c r="A43" s="89" t="s">
        <v>330</v>
      </c>
      <c r="B43" s="90">
        <v>97.0</v>
      </c>
      <c r="C43" s="90">
        <v>106.0</v>
      </c>
      <c r="D43" s="91">
        <v>87.0</v>
      </c>
      <c r="E43" s="5"/>
      <c r="F43" s="5"/>
      <c r="G43" s="5"/>
      <c r="H43" s="5"/>
      <c r="I43" s="5"/>
      <c r="J43" s="5"/>
      <c r="K43" s="5"/>
      <c r="L43" s="5"/>
      <c r="M43" s="5"/>
      <c r="N43" s="5"/>
      <c r="O43" s="5"/>
      <c r="P43" s="5"/>
      <c r="Q43" s="5"/>
      <c r="R43" s="66"/>
      <c r="S43" s="5"/>
      <c r="T43" s="5"/>
      <c r="U43" s="5"/>
      <c r="V43" s="5"/>
      <c r="W43" s="5"/>
      <c r="X43" s="5"/>
      <c r="Y43" s="5"/>
      <c r="Z43" s="5"/>
    </row>
    <row r="44">
      <c r="A44" s="86" t="s">
        <v>331</v>
      </c>
      <c r="B44" s="87">
        <v>51.0</v>
      </c>
      <c r="C44" s="87">
        <v>48.0</v>
      </c>
      <c r="D44" s="88">
        <v>24.0</v>
      </c>
      <c r="E44" s="5"/>
      <c r="F44" s="5"/>
      <c r="G44" s="5"/>
      <c r="H44" s="5"/>
      <c r="I44" s="5"/>
      <c r="J44" s="5"/>
      <c r="K44" s="5"/>
      <c r="L44" s="5"/>
      <c r="M44" s="5"/>
      <c r="N44" s="5"/>
      <c r="O44" s="5"/>
      <c r="P44" s="5"/>
      <c r="Q44" s="5"/>
      <c r="R44" s="66"/>
      <c r="S44" s="5"/>
      <c r="T44" s="5"/>
      <c r="U44" s="5"/>
      <c r="V44" s="5"/>
      <c r="W44" s="5"/>
      <c r="X44" s="5"/>
      <c r="Y44" s="5"/>
      <c r="Z44" s="5"/>
    </row>
    <row r="45">
      <c r="A45" s="89" t="s">
        <v>332</v>
      </c>
      <c r="B45" s="90">
        <v>61.0</v>
      </c>
      <c r="C45" s="90">
        <v>61.0</v>
      </c>
      <c r="D45" s="91">
        <v>43.0</v>
      </c>
      <c r="E45" s="5"/>
      <c r="F45" s="5"/>
      <c r="G45" s="5"/>
      <c r="H45" s="5"/>
      <c r="I45" s="5"/>
      <c r="J45" s="5"/>
      <c r="K45" s="5"/>
      <c r="L45" s="5"/>
      <c r="M45" s="5"/>
      <c r="N45" s="5"/>
      <c r="O45" s="5"/>
      <c r="P45" s="5"/>
      <c r="Q45" s="5"/>
      <c r="R45" s="66"/>
      <c r="S45" s="7" t="s">
        <v>333</v>
      </c>
      <c r="T45" s="5"/>
      <c r="U45" s="5"/>
      <c r="V45" s="5"/>
      <c r="W45" s="5"/>
      <c r="X45" s="5"/>
      <c r="Y45" s="5"/>
      <c r="Z45" s="5"/>
    </row>
    <row r="46">
      <c r="A46" s="5"/>
      <c r="B46" s="5"/>
      <c r="C46" s="5"/>
      <c r="D46" s="5"/>
      <c r="E46" s="5"/>
      <c r="F46" s="5"/>
      <c r="G46" s="5"/>
      <c r="H46" s="5"/>
      <c r="I46" s="5"/>
      <c r="J46" s="5"/>
      <c r="K46" s="5"/>
      <c r="L46" s="5"/>
      <c r="M46" s="5"/>
      <c r="N46" s="5"/>
      <c r="O46" s="5"/>
      <c r="P46" s="5"/>
      <c r="Q46" s="5"/>
      <c r="R46" s="66"/>
      <c r="S46" s="7" t="s">
        <v>334</v>
      </c>
      <c r="T46" s="5"/>
      <c r="U46" s="5"/>
      <c r="V46" s="5"/>
      <c r="W46" s="5"/>
      <c r="X46" s="5"/>
      <c r="Y46" s="5"/>
      <c r="Z46" s="5"/>
    </row>
    <row r="47">
      <c r="A47" s="5"/>
      <c r="B47" s="5"/>
      <c r="C47" s="5"/>
      <c r="D47" s="5"/>
      <c r="E47" s="5"/>
      <c r="F47" s="5"/>
      <c r="G47" s="5"/>
      <c r="H47" s="5"/>
      <c r="I47" s="5"/>
      <c r="J47" s="5"/>
      <c r="K47" s="5"/>
      <c r="L47" s="5"/>
      <c r="M47" s="5"/>
      <c r="N47" s="5"/>
      <c r="O47" s="5"/>
      <c r="P47" s="5"/>
      <c r="Q47" s="5"/>
      <c r="R47" s="66"/>
      <c r="S47" s="5"/>
      <c r="T47" s="5"/>
      <c r="U47" s="5"/>
      <c r="V47" s="5"/>
      <c r="W47" s="5"/>
      <c r="X47" s="5"/>
      <c r="Y47" s="5"/>
      <c r="Z47" s="5"/>
    </row>
    <row r="48">
      <c r="A48" s="5"/>
      <c r="B48" s="5"/>
      <c r="C48" s="5"/>
      <c r="D48" s="5"/>
      <c r="E48" s="5"/>
      <c r="F48" s="5"/>
      <c r="G48" s="5"/>
      <c r="H48" s="5"/>
      <c r="I48" s="5"/>
      <c r="J48" s="5"/>
      <c r="K48" s="5"/>
      <c r="L48" s="5"/>
      <c r="M48" s="5"/>
      <c r="N48" s="5"/>
      <c r="O48" s="5"/>
      <c r="P48" s="5"/>
      <c r="Q48" s="5"/>
      <c r="R48" s="66"/>
      <c r="S48" s="5"/>
      <c r="T48" s="5"/>
      <c r="U48" s="5"/>
      <c r="V48" s="5"/>
      <c r="W48" s="5"/>
      <c r="X48" s="5"/>
      <c r="Y48" s="5"/>
      <c r="Z48" s="5"/>
    </row>
    <row r="49">
      <c r="A49" s="7" t="s">
        <v>335</v>
      </c>
      <c r="B49" s="5"/>
      <c r="C49" s="5"/>
      <c r="D49" s="5"/>
      <c r="E49" s="5"/>
      <c r="F49" s="5"/>
      <c r="G49" s="5"/>
      <c r="H49" s="5"/>
      <c r="I49" s="5"/>
      <c r="J49" s="5"/>
      <c r="K49" s="5"/>
      <c r="L49" s="5"/>
      <c r="M49" s="5"/>
      <c r="N49" s="5"/>
      <c r="O49" s="5"/>
      <c r="P49" s="5"/>
      <c r="Q49" s="5"/>
      <c r="R49" s="66"/>
      <c r="S49" s="5"/>
      <c r="T49" s="5"/>
      <c r="U49" s="5"/>
      <c r="V49" s="5"/>
      <c r="W49" s="5"/>
      <c r="X49" s="5"/>
      <c r="Y49" s="5"/>
      <c r="Z49" s="5"/>
    </row>
    <row r="50">
      <c r="A50" s="92" t="s">
        <v>5</v>
      </c>
      <c r="B50" s="93" t="s">
        <v>7</v>
      </c>
      <c r="C50" s="94" t="s">
        <v>336</v>
      </c>
      <c r="D50" s="5"/>
      <c r="E50" s="5"/>
      <c r="F50" s="5"/>
      <c r="G50" s="5"/>
      <c r="H50" s="5"/>
      <c r="I50" s="5"/>
      <c r="J50" s="5"/>
      <c r="K50" s="5"/>
      <c r="L50" s="5"/>
      <c r="M50" s="5"/>
      <c r="N50" s="5"/>
      <c r="O50" s="5"/>
      <c r="P50" s="5"/>
      <c r="Q50" s="5"/>
      <c r="R50" s="66"/>
      <c r="S50" s="5"/>
      <c r="T50" s="5"/>
      <c r="U50" s="5"/>
      <c r="V50" s="5"/>
      <c r="W50" s="5"/>
      <c r="X50" s="5"/>
      <c r="Y50" s="5"/>
      <c r="Z50" s="5"/>
    </row>
    <row r="51">
      <c r="A51" s="95" t="s">
        <v>11</v>
      </c>
      <c r="B51" s="96" t="s">
        <v>12</v>
      </c>
      <c r="C51" s="97" t="str">
        <f t="shared" ref="C51:C79" si="1">IF(A51=B51, "yes", "no")</f>
        <v>no</v>
      </c>
      <c r="D51" s="5"/>
      <c r="E51" s="5"/>
      <c r="F51" s="5"/>
      <c r="G51" s="5"/>
      <c r="H51" s="5"/>
      <c r="I51" s="5"/>
      <c r="J51" s="5"/>
      <c r="K51" s="5"/>
      <c r="L51" s="5"/>
      <c r="M51" s="5"/>
      <c r="N51" s="5"/>
      <c r="O51" s="5"/>
      <c r="P51" s="5"/>
      <c r="Q51" s="5"/>
      <c r="R51" s="66"/>
      <c r="S51" s="5"/>
      <c r="T51" s="5"/>
      <c r="U51" s="5"/>
      <c r="V51" s="5"/>
      <c r="W51" s="5"/>
      <c r="X51" s="5"/>
      <c r="Y51" s="5"/>
      <c r="Z51" s="5"/>
    </row>
    <row r="52">
      <c r="A52" s="98" t="s">
        <v>17</v>
      </c>
      <c r="B52" s="99" t="s">
        <v>17</v>
      </c>
      <c r="C52" s="97" t="str">
        <f t="shared" si="1"/>
        <v>yes</v>
      </c>
      <c r="D52" s="5"/>
      <c r="E52" s="5"/>
      <c r="F52" s="5"/>
      <c r="G52" s="5"/>
      <c r="H52" s="5"/>
      <c r="I52" s="5"/>
      <c r="J52" s="5"/>
      <c r="K52" s="5"/>
      <c r="L52" s="5"/>
      <c r="M52" s="5"/>
      <c r="N52" s="5"/>
      <c r="O52" s="5"/>
      <c r="P52" s="5"/>
      <c r="Q52" s="5"/>
      <c r="R52" s="66"/>
      <c r="S52" s="5"/>
      <c r="T52" s="5"/>
      <c r="U52" s="5"/>
      <c r="V52" s="5"/>
      <c r="W52" s="5"/>
      <c r="X52" s="5"/>
      <c r="Y52" s="5"/>
      <c r="Z52" s="5"/>
    </row>
    <row r="53">
      <c r="A53" s="95" t="s">
        <v>21</v>
      </c>
      <c r="B53" s="96" t="s">
        <v>20</v>
      </c>
      <c r="C53" s="97" t="str">
        <f t="shared" si="1"/>
        <v>no</v>
      </c>
      <c r="D53" s="5"/>
      <c r="E53" s="5"/>
      <c r="F53" s="5"/>
      <c r="G53" s="5"/>
      <c r="H53" s="5"/>
      <c r="I53" s="5"/>
      <c r="J53" s="5"/>
      <c r="K53" s="5"/>
      <c r="L53" s="5"/>
      <c r="M53" s="5"/>
      <c r="N53" s="5"/>
      <c r="O53" s="5"/>
      <c r="P53" s="5"/>
      <c r="Q53" s="5"/>
      <c r="R53" s="66"/>
      <c r="S53" s="5"/>
      <c r="T53" s="5"/>
      <c r="U53" s="5"/>
      <c r="V53" s="5"/>
      <c r="W53" s="5"/>
      <c r="X53" s="5"/>
      <c r="Y53" s="5"/>
      <c r="Z53" s="5"/>
    </row>
    <row r="54">
      <c r="A54" s="98" t="s">
        <v>24</v>
      </c>
      <c r="B54" s="99" t="s">
        <v>11</v>
      </c>
      <c r="C54" s="97" t="str">
        <f t="shared" si="1"/>
        <v>no</v>
      </c>
      <c r="D54" s="5"/>
      <c r="E54" s="5"/>
      <c r="F54" s="5"/>
      <c r="G54" s="5"/>
      <c r="H54" s="5"/>
      <c r="I54" s="5"/>
      <c r="J54" s="5"/>
      <c r="K54" s="5"/>
      <c r="L54" s="5"/>
      <c r="M54" s="5"/>
      <c r="N54" s="5"/>
      <c r="O54" s="5"/>
      <c r="P54" s="5"/>
      <c r="Q54" s="5"/>
      <c r="R54" s="66"/>
      <c r="S54" s="5"/>
      <c r="T54" s="5"/>
      <c r="U54" s="5"/>
      <c r="V54" s="5"/>
      <c r="W54" s="5"/>
      <c r="X54" s="5"/>
      <c r="Y54" s="5"/>
      <c r="Z54" s="5"/>
    </row>
    <row r="55">
      <c r="A55" s="95" t="s">
        <v>26</v>
      </c>
      <c r="B55" s="96" t="s">
        <v>12</v>
      </c>
      <c r="C55" s="97" t="str">
        <f t="shared" si="1"/>
        <v>no</v>
      </c>
      <c r="D55" s="5"/>
      <c r="E55" s="5"/>
      <c r="F55" s="5"/>
      <c r="G55" s="5"/>
      <c r="H55" s="5"/>
      <c r="I55" s="5"/>
      <c r="J55" s="5"/>
      <c r="K55" s="5"/>
      <c r="L55" s="5"/>
      <c r="M55" s="5"/>
      <c r="N55" s="5"/>
      <c r="O55" s="5"/>
      <c r="P55" s="5"/>
      <c r="Q55" s="5"/>
      <c r="R55" s="66"/>
      <c r="S55" s="5"/>
      <c r="T55" s="5"/>
      <c r="U55" s="5"/>
      <c r="V55" s="5"/>
      <c r="W55" s="5"/>
      <c r="X55" s="5"/>
      <c r="Y55" s="5"/>
      <c r="Z55" s="5"/>
    </row>
    <row r="56">
      <c r="A56" s="98" t="s">
        <v>16</v>
      </c>
      <c r="B56" s="99" t="s">
        <v>21</v>
      </c>
      <c r="C56" s="97" t="str">
        <f t="shared" si="1"/>
        <v>no</v>
      </c>
      <c r="D56" s="5"/>
      <c r="E56" s="5"/>
      <c r="F56" s="5"/>
      <c r="G56" s="5"/>
      <c r="H56" s="5"/>
      <c r="I56" s="5"/>
      <c r="J56" s="5"/>
      <c r="K56" s="5"/>
      <c r="L56" s="5"/>
      <c r="M56" s="5"/>
      <c r="N56" s="5"/>
      <c r="O56" s="5"/>
      <c r="P56" s="5"/>
      <c r="Q56" s="5"/>
      <c r="R56" s="66"/>
      <c r="S56" s="5"/>
      <c r="T56" s="5"/>
      <c r="U56" s="5"/>
      <c r="V56" s="5"/>
      <c r="W56" s="5"/>
      <c r="X56" s="5"/>
      <c r="Y56" s="5"/>
      <c r="Z56" s="5"/>
    </row>
    <row r="57">
      <c r="A57" s="95" t="s">
        <v>26</v>
      </c>
      <c r="B57" s="96" t="s">
        <v>20</v>
      </c>
      <c r="C57" s="97" t="str">
        <f t="shared" si="1"/>
        <v>no</v>
      </c>
      <c r="D57" s="5"/>
      <c r="E57" s="5"/>
      <c r="F57" s="5"/>
      <c r="G57" s="5"/>
      <c r="H57" s="5"/>
      <c r="I57" s="5"/>
      <c r="J57" s="5"/>
      <c r="K57" s="5"/>
      <c r="L57" s="5"/>
      <c r="M57" s="5"/>
      <c r="N57" s="5"/>
      <c r="O57" s="5"/>
      <c r="P57" s="5"/>
      <c r="Q57" s="5"/>
      <c r="R57" s="66"/>
      <c r="S57" s="5"/>
      <c r="T57" s="5"/>
      <c r="U57" s="5"/>
      <c r="V57" s="5"/>
      <c r="W57" s="5"/>
      <c r="X57" s="5"/>
      <c r="Y57" s="5"/>
      <c r="Z57" s="5"/>
    </row>
    <row r="58">
      <c r="A58" s="98" t="s">
        <v>24</v>
      </c>
      <c r="B58" s="99" t="s">
        <v>17</v>
      </c>
      <c r="C58" s="97" t="str">
        <f t="shared" si="1"/>
        <v>no</v>
      </c>
      <c r="D58" s="5"/>
      <c r="E58" s="5"/>
      <c r="F58" s="5"/>
      <c r="G58" s="5"/>
      <c r="H58" s="5"/>
      <c r="I58" s="5"/>
      <c r="J58" s="5"/>
      <c r="K58" s="5"/>
      <c r="L58" s="5"/>
      <c r="M58" s="5"/>
      <c r="N58" s="5"/>
      <c r="O58" s="5"/>
      <c r="P58" s="5"/>
      <c r="Q58" s="5"/>
      <c r="R58" s="66"/>
      <c r="S58" s="5"/>
      <c r="T58" s="5"/>
      <c r="U58" s="5"/>
      <c r="V58" s="5"/>
      <c r="W58" s="5"/>
      <c r="X58" s="5"/>
      <c r="Y58" s="5"/>
      <c r="Z58" s="5"/>
    </row>
    <row r="59">
      <c r="A59" s="95" t="s">
        <v>21</v>
      </c>
      <c r="B59" s="96" t="s">
        <v>21</v>
      </c>
      <c r="C59" s="97" t="str">
        <f t="shared" si="1"/>
        <v>yes</v>
      </c>
      <c r="D59" s="5"/>
      <c r="E59" s="5"/>
      <c r="F59" s="5"/>
      <c r="G59" s="5"/>
      <c r="H59" s="5"/>
      <c r="I59" s="5"/>
      <c r="J59" s="5"/>
      <c r="K59" s="5"/>
      <c r="L59" s="5"/>
      <c r="M59" s="5"/>
      <c r="N59" s="5"/>
      <c r="O59" s="5"/>
      <c r="P59" s="5"/>
      <c r="Q59" s="5"/>
      <c r="R59" s="66"/>
      <c r="S59" s="5"/>
      <c r="T59" s="5"/>
      <c r="U59" s="5"/>
      <c r="V59" s="5"/>
      <c r="W59" s="5"/>
      <c r="X59" s="5"/>
      <c r="Y59" s="5"/>
      <c r="Z59" s="5"/>
    </row>
    <row r="60">
      <c r="A60" s="98" t="s">
        <v>24</v>
      </c>
      <c r="B60" s="99" t="s">
        <v>16</v>
      </c>
      <c r="C60" s="97" t="str">
        <f t="shared" si="1"/>
        <v>no</v>
      </c>
      <c r="D60" s="5"/>
      <c r="E60" s="5"/>
      <c r="F60" s="5"/>
      <c r="G60" s="5"/>
      <c r="H60" s="5"/>
      <c r="I60" s="5"/>
      <c r="J60" s="5"/>
      <c r="K60" s="5"/>
      <c r="L60" s="5"/>
      <c r="M60" s="5"/>
      <c r="N60" s="5"/>
      <c r="O60" s="5"/>
      <c r="P60" s="5"/>
      <c r="Q60" s="5"/>
      <c r="R60" s="66"/>
      <c r="S60" s="5"/>
      <c r="T60" s="5"/>
      <c r="U60" s="5"/>
      <c r="V60" s="5"/>
      <c r="W60" s="5"/>
      <c r="X60" s="5"/>
      <c r="Y60" s="5"/>
      <c r="Z60" s="5"/>
    </row>
    <row r="61">
      <c r="A61" s="95" t="s">
        <v>21</v>
      </c>
      <c r="B61" s="96" t="s">
        <v>21</v>
      </c>
      <c r="C61" s="97" t="str">
        <f t="shared" si="1"/>
        <v>yes</v>
      </c>
      <c r="D61" s="5"/>
      <c r="E61" s="5"/>
      <c r="F61" s="5"/>
      <c r="G61" s="5"/>
      <c r="H61" s="5"/>
      <c r="I61" s="5"/>
      <c r="J61" s="5"/>
      <c r="K61" s="5"/>
      <c r="L61" s="5"/>
      <c r="M61" s="5"/>
      <c r="N61" s="5"/>
      <c r="O61" s="5"/>
      <c r="P61" s="5"/>
      <c r="Q61" s="5"/>
      <c r="R61" s="66"/>
      <c r="S61" s="5"/>
      <c r="T61" s="5"/>
      <c r="U61" s="5"/>
      <c r="V61" s="5"/>
      <c r="W61" s="5"/>
      <c r="X61" s="5"/>
      <c r="Y61" s="5"/>
      <c r="Z61" s="5"/>
    </row>
    <row r="62">
      <c r="A62" s="98" t="s">
        <v>12</v>
      </c>
      <c r="B62" s="99" t="s">
        <v>17</v>
      </c>
      <c r="C62" s="97" t="str">
        <f t="shared" si="1"/>
        <v>no</v>
      </c>
      <c r="D62" s="5"/>
      <c r="E62" s="5"/>
      <c r="F62" s="5"/>
      <c r="G62" s="5"/>
      <c r="H62" s="5"/>
      <c r="I62" s="5"/>
      <c r="J62" s="5"/>
      <c r="K62" s="5"/>
      <c r="L62" s="5"/>
      <c r="M62" s="5"/>
      <c r="N62" s="5"/>
      <c r="O62" s="5"/>
      <c r="P62" s="5"/>
      <c r="Q62" s="5"/>
      <c r="R62" s="66"/>
      <c r="S62" s="5"/>
      <c r="T62" s="5"/>
      <c r="U62" s="5"/>
      <c r="V62" s="5"/>
      <c r="W62" s="5"/>
      <c r="X62" s="5"/>
      <c r="Y62" s="5"/>
      <c r="Z62" s="5"/>
    </row>
    <row r="63">
      <c r="A63" s="95" t="s">
        <v>26</v>
      </c>
      <c r="B63" s="96" t="s">
        <v>26</v>
      </c>
      <c r="C63" s="97" t="str">
        <f t="shared" si="1"/>
        <v>yes</v>
      </c>
      <c r="D63" s="5"/>
      <c r="E63" s="5"/>
      <c r="F63" s="5"/>
      <c r="G63" s="5"/>
      <c r="H63" s="5"/>
      <c r="I63" s="5"/>
      <c r="J63" s="5"/>
      <c r="K63" s="5"/>
      <c r="L63" s="5"/>
      <c r="M63" s="5"/>
      <c r="N63" s="5"/>
      <c r="O63" s="5"/>
      <c r="P63" s="5"/>
      <c r="Q63" s="5"/>
      <c r="R63" s="66"/>
      <c r="S63" s="5"/>
      <c r="T63" s="5"/>
      <c r="U63" s="5"/>
      <c r="V63" s="5"/>
      <c r="W63" s="5"/>
      <c r="X63" s="5"/>
      <c r="Y63" s="5"/>
      <c r="Z63" s="5"/>
    </row>
    <row r="64">
      <c r="A64" s="98" t="s">
        <v>20</v>
      </c>
      <c r="B64" s="99" t="s">
        <v>16</v>
      </c>
      <c r="C64" s="97" t="str">
        <f t="shared" si="1"/>
        <v>no</v>
      </c>
      <c r="D64" s="5"/>
      <c r="E64" s="5"/>
      <c r="F64" s="5"/>
      <c r="G64" s="5"/>
      <c r="H64" s="5"/>
      <c r="I64" s="5"/>
      <c r="J64" s="5"/>
      <c r="K64" s="5"/>
      <c r="L64" s="5"/>
      <c r="M64" s="5"/>
      <c r="N64" s="5"/>
      <c r="O64" s="5"/>
      <c r="P64" s="5"/>
      <c r="Q64" s="5"/>
      <c r="R64" s="66"/>
      <c r="S64" s="5"/>
      <c r="T64" s="5"/>
      <c r="U64" s="5"/>
      <c r="V64" s="5"/>
      <c r="W64" s="5"/>
      <c r="X64" s="5"/>
      <c r="Y64" s="5"/>
      <c r="Z64" s="5"/>
    </row>
    <row r="65">
      <c r="A65" s="95" t="s">
        <v>17</v>
      </c>
      <c r="B65" s="96" t="s">
        <v>17</v>
      </c>
      <c r="C65" s="97" t="str">
        <f t="shared" si="1"/>
        <v>yes</v>
      </c>
      <c r="D65" s="5"/>
      <c r="E65" s="5"/>
      <c r="F65" s="5"/>
      <c r="G65" s="5"/>
      <c r="H65" s="5"/>
      <c r="I65" s="5"/>
      <c r="J65" s="5"/>
      <c r="K65" s="5"/>
      <c r="L65" s="5"/>
      <c r="M65" s="5"/>
      <c r="N65" s="5"/>
      <c r="O65" s="5"/>
      <c r="P65" s="5"/>
      <c r="Q65" s="5"/>
      <c r="R65" s="66"/>
      <c r="S65" s="5"/>
      <c r="T65" s="5"/>
      <c r="U65" s="5"/>
      <c r="V65" s="5"/>
      <c r="W65" s="5"/>
      <c r="X65" s="5"/>
      <c r="Y65" s="5"/>
      <c r="Z65" s="5"/>
    </row>
    <row r="66">
      <c r="A66" s="98" t="s">
        <v>12</v>
      </c>
      <c r="B66" s="99" t="s">
        <v>24</v>
      </c>
      <c r="C66" s="97" t="str">
        <f t="shared" si="1"/>
        <v>no</v>
      </c>
      <c r="D66" s="5"/>
      <c r="E66" s="5"/>
      <c r="F66" s="5"/>
      <c r="G66" s="5"/>
      <c r="H66" s="5"/>
      <c r="I66" s="5"/>
      <c r="J66" s="5"/>
      <c r="K66" s="5"/>
      <c r="L66" s="5"/>
      <c r="M66" s="5"/>
      <c r="N66" s="5"/>
      <c r="O66" s="5"/>
      <c r="P66" s="5"/>
      <c r="Q66" s="5"/>
      <c r="R66" s="66"/>
      <c r="S66" s="5"/>
      <c r="T66" s="5"/>
      <c r="U66" s="5"/>
      <c r="V66" s="5"/>
      <c r="W66" s="5"/>
      <c r="X66" s="5"/>
      <c r="Y66" s="5"/>
      <c r="Z66" s="5"/>
    </row>
    <row r="67">
      <c r="A67" s="95" t="s">
        <v>11</v>
      </c>
      <c r="B67" s="96" t="s">
        <v>20</v>
      </c>
      <c r="C67" s="97" t="str">
        <f t="shared" si="1"/>
        <v>no</v>
      </c>
      <c r="D67" s="5"/>
      <c r="E67" s="5"/>
      <c r="F67" s="5"/>
      <c r="G67" s="5"/>
      <c r="H67" s="5"/>
      <c r="I67" s="5"/>
      <c r="J67" s="5"/>
      <c r="K67" s="5"/>
      <c r="L67" s="5"/>
      <c r="M67" s="5"/>
      <c r="N67" s="5"/>
      <c r="O67" s="5"/>
      <c r="P67" s="5"/>
      <c r="Q67" s="5"/>
      <c r="R67" s="66"/>
      <c r="S67" s="5"/>
      <c r="T67" s="5"/>
      <c r="U67" s="5"/>
      <c r="V67" s="5"/>
      <c r="W67" s="5"/>
      <c r="X67" s="5"/>
      <c r="Y67" s="5"/>
      <c r="Z67" s="5"/>
    </row>
    <row r="68">
      <c r="A68" s="98" t="s">
        <v>16</v>
      </c>
      <c r="B68" s="99" t="s">
        <v>16</v>
      </c>
      <c r="C68" s="97" t="str">
        <f t="shared" si="1"/>
        <v>yes</v>
      </c>
      <c r="D68" s="5"/>
      <c r="E68" s="5"/>
      <c r="F68" s="5"/>
      <c r="G68" s="5"/>
      <c r="H68" s="5"/>
      <c r="I68" s="5"/>
      <c r="J68" s="5"/>
      <c r="K68" s="5"/>
      <c r="L68" s="5"/>
      <c r="M68" s="5"/>
      <c r="N68" s="5"/>
      <c r="O68" s="5"/>
      <c r="P68" s="5"/>
      <c r="Q68" s="5"/>
      <c r="R68" s="66"/>
      <c r="S68" s="5"/>
      <c r="T68" s="5"/>
      <c r="U68" s="5"/>
      <c r="V68" s="5"/>
      <c r="W68" s="5"/>
      <c r="X68" s="5"/>
      <c r="Y68" s="5"/>
      <c r="Z68" s="5"/>
    </row>
    <row r="69">
      <c r="A69" s="95" t="s">
        <v>21</v>
      </c>
      <c r="B69" s="96" t="s">
        <v>21</v>
      </c>
      <c r="C69" s="97" t="str">
        <f t="shared" si="1"/>
        <v>yes</v>
      </c>
      <c r="D69" s="5"/>
      <c r="E69" s="5"/>
      <c r="F69" s="5"/>
      <c r="G69" s="5"/>
      <c r="H69" s="5"/>
      <c r="I69" s="5"/>
      <c r="J69" s="5"/>
      <c r="K69" s="5"/>
      <c r="L69" s="5"/>
      <c r="M69" s="5"/>
      <c r="N69" s="5"/>
      <c r="O69" s="5"/>
      <c r="P69" s="5"/>
      <c r="Q69" s="5"/>
      <c r="R69" s="66"/>
      <c r="S69" s="5"/>
      <c r="T69" s="5"/>
      <c r="U69" s="5"/>
      <c r="V69" s="5"/>
      <c r="W69" s="5"/>
      <c r="X69" s="5"/>
      <c r="Y69" s="5"/>
      <c r="Z69" s="5"/>
    </row>
    <row r="70">
      <c r="A70" s="98" t="s">
        <v>17</v>
      </c>
      <c r="B70" s="99" t="s">
        <v>20</v>
      </c>
      <c r="C70" s="97" t="str">
        <f t="shared" si="1"/>
        <v>no</v>
      </c>
      <c r="D70" s="5"/>
      <c r="E70" s="5"/>
      <c r="F70" s="5"/>
      <c r="G70" s="5"/>
      <c r="H70" s="5"/>
      <c r="I70" s="5"/>
      <c r="J70" s="5"/>
      <c r="K70" s="5"/>
      <c r="L70" s="5"/>
      <c r="M70" s="5"/>
      <c r="N70" s="5"/>
      <c r="O70" s="5"/>
      <c r="P70" s="5"/>
      <c r="Q70" s="5"/>
      <c r="R70" s="66"/>
      <c r="S70" s="5"/>
      <c r="T70" s="5"/>
      <c r="U70" s="5"/>
      <c r="V70" s="5"/>
      <c r="W70" s="5"/>
      <c r="X70" s="5"/>
      <c r="Y70" s="5"/>
      <c r="Z70" s="5"/>
    </row>
    <row r="71">
      <c r="A71" s="95" t="s">
        <v>26</v>
      </c>
      <c r="B71" s="96" t="s">
        <v>11</v>
      </c>
      <c r="C71" s="97" t="str">
        <f t="shared" si="1"/>
        <v>no</v>
      </c>
      <c r="D71" s="5"/>
      <c r="E71" s="5"/>
      <c r="F71" s="5"/>
      <c r="G71" s="5"/>
      <c r="H71" s="5"/>
      <c r="I71" s="5"/>
      <c r="J71" s="5"/>
      <c r="K71" s="5"/>
      <c r="L71" s="5"/>
      <c r="M71" s="5"/>
      <c r="N71" s="5"/>
      <c r="O71" s="5"/>
      <c r="P71" s="5"/>
      <c r="Q71" s="5"/>
      <c r="R71" s="66"/>
      <c r="S71" s="5"/>
      <c r="T71" s="5"/>
      <c r="U71" s="5"/>
      <c r="V71" s="5"/>
      <c r="W71" s="5"/>
      <c r="X71" s="5"/>
      <c r="Y71" s="5"/>
      <c r="Z71" s="5"/>
    </row>
    <row r="72">
      <c r="A72" s="98" t="s">
        <v>16</v>
      </c>
      <c r="B72" s="99" t="s">
        <v>16</v>
      </c>
      <c r="C72" s="97" t="str">
        <f t="shared" si="1"/>
        <v>yes</v>
      </c>
      <c r="D72" s="5"/>
      <c r="E72" s="5"/>
      <c r="F72" s="5"/>
      <c r="G72" s="5"/>
      <c r="H72" s="5"/>
      <c r="I72" s="5"/>
      <c r="J72" s="5"/>
      <c r="K72" s="5"/>
      <c r="L72" s="5"/>
      <c r="M72" s="5"/>
      <c r="N72" s="5"/>
      <c r="O72" s="5"/>
      <c r="P72" s="5"/>
      <c r="Q72" s="5"/>
      <c r="R72" s="66"/>
      <c r="S72" s="5"/>
      <c r="T72" s="5"/>
      <c r="U72" s="5"/>
      <c r="V72" s="5"/>
      <c r="W72" s="5"/>
      <c r="X72" s="5"/>
      <c r="Y72" s="5"/>
      <c r="Z72" s="5"/>
    </row>
    <row r="73">
      <c r="A73" s="95" t="s">
        <v>20</v>
      </c>
      <c r="B73" s="96" t="s">
        <v>24</v>
      </c>
      <c r="C73" s="97" t="str">
        <f t="shared" si="1"/>
        <v>no</v>
      </c>
      <c r="D73" s="5"/>
      <c r="E73" s="5"/>
      <c r="F73" s="5"/>
      <c r="G73" s="5"/>
      <c r="H73" s="5"/>
      <c r="I73" s="5"/>
      <c r="J73" s="5"/>
      <c r="K73" s="5"/>
      <c r="L73" s="5"/>
      <c r="M73" s="5"/>
      <c r="N73" s="5"/>
      <c r="O73" s="5"/>
      <c r="P73" s="5"/>
      <c r="Q73" s="5"/>
      <c r="R73" s="66"/>
      <c r="S73" s="5"/>
      <c r="T73" s="5"/>
      <c r="U73" s="5"/>
      <c r="V73" s="5"/>
      <c r="W73" s="5"/>
      <c r="X73" s="5"/>
      <c r="Y73" s="5"/>
      <c r="Z73" s="5"/>
    </row>
    <row r="74">
      <c r="A74" s="98" t="s">
        <v>17</v>
      </c>
      <c r="B74" s="99" t="s">
        <v>21</v>
      </c>
      <c r="C74" s="97" t="str">
        <f t="shared" si="1"/>
        <v>no</v>
      </c>
      <c r="D74" s="5"/>
      <c r="E74" s="5"/>
      <c r="F74" s="5"/>
      <c r="G74" s="5"/>
      <c r="H74" s="5"/>
      <c r="I74" s="5"/>
      <c r="J74" s="5"/>
      <c r="K74" s="5"/>
      <c r="L74" s="5"/>
      <c r="M74" s="5"/>
      <c r="N74" s="5"/>
      <c r="O74" s="5"/>
      <c r="P74" s="5"/>
      <c r="Q74" s="5"/>
      <c r="R74" s="66"/>
      <c r="S74" s="5"/>
      <c r="T74" s="5"/>
      <c r="U74" s="5"/>
      <c r="V74" s="5"/>
      <c r="W74" s="5"/>
      <c r="X74" s="5"/>
      <c r="Y74" s="5"/>
      <c r="Z74" s="5"/>
    </row>
    <row r="75">
      <c r="A75" s="95" t="s">
        <v>16</v>
      </c>
      <c r="B75" s="96" t="s">
        <v>16</v>
      </c>
      <c r="C75" s="97" t="str">
        <f t="shared" si="1"/>
        <v>yes</v>
      </c>
      <c r="D75" s="5"/>
      <c r="E75" s="5"/>
      <c r="F75" s="5"/>
      <c r="G75" s="5"/>
      <c r="H75" s="5"/>
      <c r="I75" s="5"/>
      <c r="J75" s="5"/>
      <c r="K75" s="5"/>
      <c r="L75" s="5"/>
      <c r="M75" s="5"/>
      <c r="N75" s="5"/>
      <c r="O75" s="5"/>
      <c r="P75" s="5"/>
      <c r="Q75" s="5"/>
      <c r="R75" s="66"/>
      <c r="S75" s="5"/>
      <c r="T75" s="5"/>
      <c r="U75" s="5"/>
      <c r="V75" s="5"/>
      <c r="W75" s="5"/>
      <c r="X75" s="5"/>
      <c r="Y75" s="5"/>
      <c r="Z75" s="5"/>
    </row>
    <row r="76">
      <c r="A76" s="98" t="s">
        <v>26</v>
      </c>
      <c r="B76" s="99" t="s">
        <v>26</v>
      </c>
      <c r="C76" s="97" t="str">
        <f t="shared" si="1"/>
        <v>yes</v>
      </c>
      <c r="D76" s="5"/>
      <c r="E76" s="5"/>
      <c r="F76" s="5"/>
      <c r="G76" s="5"/>
      <c r="H76" s="5"/>
      <c r="I76" s="5"/>
      <c r="J76" s="5"/>
      <c r="K76" s="5"/>
      <c r="L76" s="5"/>
      <c r="M76" s="5"/>
      <c r="N76" s="5"/>
      <c r="O76" s="5"/>
      <c r="P76" s="5"/>
      <c r="Q76" s="5"/>
      <c r="R76" s="66"/>
      <c r="S76" s="5"/>
      <c r="T76" s="5"/>
      <c r="U76" s="5"/>
      <c r="V76" s="5"/>
      <c r="W76" s="5"/>
      <c r="X76" s="5"/>
      <c r="Y76" s="5"/>
      <c r="Z76" s="5"/>
    </row>
    <row r="77">
      <c r="A77" s="95" t="s">
        <v>24</v>
      </c>
      <c r="B77" s="96" t="s">
        <v>24</v>
      </c>
      <c r="C77" s="97" t="str">
        <f t="shared" si="1"/>
        <v>yes</v>
      </c>
      <c r="D77" s="5"/>
      <c r="E77" s="5"/>
      <c r="F77" s="5"/>
      <c r="G77" s="5"/>
      <c r="H77" s="5"/>
      <c r="I77" s="5"/>
      <c r="J77" s="5"/>
      <c r="K77" s="5"/>
      <c r="L77" s="5"/>
      <c r="M77" s="5"/>
      <c r="N77" s="5"/>
      <c r="O77" s="5"/>
      <c r="P77" s="5"/>
      <c r="Q77" s="5"/>
      <c r="R77" s="66"/>
      <c r="S77" s="5"/>
      <c r="T77" s="5"/>
      <c r="U77" s="5"/>
      <c r="V77" s="5"/>
      <c r="W77" s="5"/>
      <c r="X77" s="5"/>
      <c r="Y77" s="5"/>
      <c r="Z77" s="5"/>
    </row>
    <row r="78">
      <c r="A78" s="98" t="s">
        <v>17</v>
      </c>
      <c r="B78" s="99" t="s">
        <v>17</v>
      </c>
      <c r="C78" s="97" t="str">
        <f t="shared" si="1"/>
        <v>yes</v>
      </c>
      <c r="D78" s="5"/>
      <c r="E78" s="5"/>
      <c r="F78" s="5"/>
      <c r="G78" s="5"/>
      <c r="H78" s="5"/>
      <c r="I78" s="5"/>
      <c r="J78" s="5"/>
      <c r="K78" s="5"/>
      <c r="L78" s="5"/>
      <c r="M78" s="5"/>
      <c r="N78" s="5"/>
      <c r="O78" s="5"/>
      <c r="P78" s="5"/>
      <c r="Q78" s="5"/>
      <c r="R78" s="66"/>
      <c r="S78" s="5"/>
      <c r="T78" s="5"/>
      <c r="U78" s="5"/>
      <c r="V78" s="5"/>
      <c r="W78" s="5"/>
      <c r="X78" s="5"/>
      <c r="Y78" s="5"/>
      <c r="Z78" s="5"/>
    </row>
    <row r="79">
      <c r="A79" s="95" t="s">
        <v>12</v>
      </c>
      <c r="B79" s="96" t="s">
        <v>12</v>
      </c>
      <c r="C79" s="97" t="str">
        <f t="shared" si="1"/>
        <v>yes</v>
      </c>
      <c r="D79" s="5"/>
      <c r="E79" s="5"/>
      <c r="F79" s="5"/>
      <c r="G79" s="5"/>
      <c r="H79" s="5"/>
      <c r="I79" s="5"/>
      <c r="J79" s="5"/>
      <c r="K79" s="5"/>
      <c r="L79" s="5"/>
      <c r="M79" s="5"/>
      <c r="N79" s="5"/>
      <c r="O79" s="5"/>
      <c r="P79" s="5"/>
      <c r="Q79" s="5"/>
      <c r="R79" s="66"/>
      <c r="S79" s="5"/>
      <c r="T79" s="5"/>
      <c r="U79" s="5"/>
      <c r="V79" s="5"/>
      <c r="W79" s="5"/>
      <c r="X79" s="5"/>
      <c r="Y79" s="5"/>
      <c r="Z79" s="5"/>
    </row>
    <row r="80">
      <c r="A80" s="5"/>
      <c r="B80" s="5"/>
      <c r="C80" s="5"/>
      <c r="D80" s="5"/>
      <c r="E80" s="5"/>
      <c r="F80" s="5"/>
      <c r="G80" s="5"/>
      <c r="H80" s="5"/>
      <c r="I80" s="5"/>
      <c r="J80" s="5"/>
      <c r="K80" s="5"/>
      <c r="L80" s="5"/>
      <c r="M80" s="5"/>
      <c r="N80" s="5"/>
      <c r="O80" s="5"/>
      <c r="P80" s="5"/>
      <c r="Q80" s="5"/>
      <c r="R80" s="66"/>
      <c r="S80" s="5"/>
      <c r="T80" s="5"/>
      <c r="U80" s="5"/>
      <c r="V80" s="5"/>
      <c r="W80" s="5"/>
      <c r="X80" s="5"/>
      <c r="Y80" s="5"/>
      <c r="Z80" s="5"/>
    </row>
    <row r="81">
      <c r="A81" s="5"/>
      <c r="B81" s="5"/>
      <c r="C81" s="5"/>
      <c r="D81" s="5"/>
      <c r="E81" s="5"/>
      <c r="F81" s="5"/>
      <c r="G81" s="5"/>
      <c r="H81" s="5"/>
      <c r="I81" s="5"/>
      <c r="J81" s="5"/>
      <c r="K81" s="5"/>
      <c r="L81" s="5"/>
      <c r="M81" s="5"/>
      <c r="N81" s="5"/>
      <c r="O81" s="5"/>
      <c r="P81" s="5"/>
      <c r="Q81" s="5"/>
      <c r="R81" s="66"/>
      <c r="S81" s="5"/>
      <c r="T81" s="5"/>
      <c r="U81" s="5"/>
      <c r="V81" s="5"/>
      <c r="W81" s="5"/>
      <c r="X81" s="5"/>
      <c r="Y81" s="5"/>
      <c r="Z81" s="5"/>
    </row>
    <row r="82">
      <c r="A82" s="5"/>
      <c r="B82" s="5"/>
      <c r="C82" s="5"/>
      <c r="D82" s="5"/>
      <c r="E82" s="5"/>
      <c r="F82" s="5"/>
      <c r="G82" s="5"/>
      <c r="H82" s="5"/>
      <c r="I82" s="5"/>
      <c r="J82" s="5"/>
      <c r="K82" s="5"/>
      <c r="L82" s="5"/>
      <c r="M82" s="5"/>
      <c r="N82" s="5"/>
      <c r="O82" s="5"/>
      <c r="P82" s="5"/>
      <c r="Q82" s="5"/>
      <c r="R82" s="66"/>
      <c r="S82" s="5"/>
      <c r="T82" s="5"/>
      <c r="U82" s="5"/>
      <c r="V82" s="5"/>
      <c r="W82" s="5"/>
      <c r="X82" s="5"/>
      <c r="Y82" s="5"/>
      <c r="Z82" s="5"/>
    </row>
    <row r="83">
      <c r="A83" s="7" t="s">
        <v>337</v>
      </c>
      <c r="B83" s="5"/>
      <c r="C83" s="5"/>
      <c r="D83" s="5"/>
      <c r="E83" s="5"/>
      <c r="F83" s="5"/>
      <c r="G83" s="5"/>
      <c r="H83" s="5"/>
      <c r="I83" s="5"/>
      <c r="J83" s="5"/>
      <c r="K83" s="5"/>
      <c r="L83" s="5"/>
      <c r="M83" s="5"/>
      <c r="N83" s="5"/>
      <c r="O83" s="5"/>
      <c r="P83" s="5"/>
      <c r="Q83" s="5"/>
      <c r="R83" s="66"/>
      <c r="S83" s="5"/>
      <c r="T83" s="5"/>
      <c r="U83" s="5"/>
      <c r="V83" s="5"/>
      <c r="W83" s="5"/>
      <c r="X83" s="5"/>
      <c r="Y83" s="5"/>
      <c r="Z83" s="5"/>
    </row>
    <row r="84">
      <c r="A84" s="100" t="s">
        <v>199</v>
      </c>
      <c r="B84" s="100" t="s">
        <v>200</v>
      </c>
      <c r="C84" s="101" t="s">
        <v>201</v>
      </c>
      <c r="D84" s="100" t="s">
        <v>338</v>
      </c>
      <c r="E84" s="100" t="s">
        <v>339</v>
      </c>
      <c r="F84" s="100" t="s">
        <v>340</v>
      </c>
      <c r="G84" s="100" t="s">
        <v>341</v>
      </c>
      <c r="H84" s="100" t="s">
        <v>342</v>
      </c>
      <c r="I84" s="100" t="s">
        <v>223</v>
      </c>
      <c r="J84" s="100" t="s">
        <v>206</v>
      </c>
      <c r="K84" s="100" t="s">
        <v>224</v>
      </c>
      <c r="L84" s="100" t="s">
        <v>343</v>
      </c>
      <c r="M84" s="100" t="s">
        <v>344</v>
      </c>
      <c r="N84" s="100" t="s">
        <v>345</v>
      </c>
      <c r="O84" s="100" t="s">
        <v>346</v>
      </c>
      <c r="P84" s="100" t="s">
        <v>347</v>
      </c>
      <c r="Q84" s="102" t="s">
        <v>348</v>
      </c>
      <c r="R84" s="102" t="s">
        <v>349</v>
      </c>
      <c r="S84" s="102" t="s">
        <v>232</v>
      </c>
      <c r="T84" s="103" t="s">
        <v>350</v>
      </c>
      <c r="U84" s="103" t="s">
        <v>351</v>
      </c>
      <c r="V84" s="5"/>
      <c r="W84" s="5"/>
      <c r="X84" s="5"/>
      <c r="Y84" s="5"/>
      <c r="Z84" s="5"/>
    </row>
    <row r="85">
      <c r="A85" s="22">
        <v>303.0</v>
      </c>
      <c r="B85" s="22">
        <v>51.0</v>
      </c>
      <c r="C85" s="104">
        <v>40909.0</v>
      </c>
      <c r="D85" s="22" t="s">
        <v>187</v>
      </c>
      <c r="E85" s="22" t="s">
        <v>107</v>
      </c>
      <c r="F85" s="22">
        <v>46.0</v>
      </c>
      <c r="G85" s="22" t="s">
        <v>352</v>
      </c>
      <c r="H85" s="22" t="s">
        <v>353</v>
      </c>
      <c r="I85" s="22" t="s">
        <v>227</v>
      </c>
      <c r="J85" s="22">
        <v>-5.0</v>
      </c>
      <c r="K85" s="22">
        <v>122.0</v>
      </c>
      <c r="L85" s="22" t="s">
        <v>354</v>
      </c>
      <c r="M85" s="22">
        <v>30.0</v>
      </c>
      <c r="N85" s="22">
        <v>30.0</v>
      </c>
      <c r="O85" s="22">
        <v>90.0</v>
      </c>
      <c r="P85" s="22">
        <v>76.0</v>
      </c>
      <c r="Q85" s="22">
        <f t="shared" ref="Q85:Q103" si="2">P85+M85+F85</f>
        <v>152</v>
      </c>
      <c r="R85" s="22">
        <f t="shared" ref="R85:R103" si="3">(J85/K85)*100</f>
        <v>-4.098360656</v>
      </c>
      <c r="S85" s="22">
        <f t="shared" ref="S85:S103" si="4">YEAR(C85)</f>
        <v>2012</v>
      </c>
      <c r="T85" s="22">
        <f t="shared" ref="T85:T103" si="5">K85-J85</f>
        <v>127</v>
      </c>
      <c r="U85" s="22" t="str">
        <f t="shared" ref="U85:U103" si="6">TEXT(C85, "MMM")</f>
        <v>Jan</v>
      </c>
      <c r="V85" s="5"/>
      <c r="W85" s="5"/>
      <c r="X85" s="5"/>
      <c r="Y85" s="5"/>
      <c r="Z85" s="5"/>
    </row>
    <row r="86">
      <c r="A86" s="22">
        <v>970.0</v>
      </c>
      <c r="B86" s="22">
        <v>52.0</v>
      </c>
      <c r="C86" s="104">
        <v>40909.0</v>
      </c>
      <c r="D86" s="22" t="s">
        <v>187</v>
      </c>
      <c r="E86" s="22" t="s">
        <v>107</v>
      </c>
      <c r="F86" s="22">
        <v>17.0</v>
      </c>
      <c r="G86" s="22" t="s">
        <v>352</v>
      </c>
      <c r="H86" s="22" t="s">
        <v>353</v>
      </c>
      <c r="I86" s="22" t="s">
        <v>355</v>
      </c>
      <c r="J86" s="22">
        <v>26.0</v>
      </c>
      <c r="K86" s="22">
        <v>123.0</v>
      </c>
      <c r="L86" s="22" t="s">
        <v>354</v>
      </c>
      <c r="M86" s="22">
        <v>30.0</v>
      </c>
      <c r="N86" s="22">
        <v>50.0</v>
      </c>
      <c r="O86" s="22">
        <v>90.0</v>
      </c>
      <c r="P86" s="22">
        <v>45.0</v>
      </c>
      <c r="Q86" s="22">
        <f t="shared" si="2"/>
        <v>92</v>
      </c>
      <c r="R86" s="22">
        <f t="shared" si="3"/>
        <v>21.13821138</v>
      </c>
      <c r="S86" s="22">
        <f t="shared" si="4"/>
        <v>2012</v>
      </c>
      <c r="T86" s="22">
        <f t="shared" si="5"/>
        <v>97</v>
      </c>
      <c r="U86" s="22" t="str">
        <f t="shared" si="6"/>
        <v>Jan</v>
      </c>
      <c r="V86" s="5"/>
      <c r="W86" s="5"/>
      <c r="X86" s="5"/>
      <c r="Y86" s="5"/>
      <c r="Z86" s="5"/>
    </row>
    <row r="87">
      <c r="A87" s="22">
        <v>409.0</v>
      </c>
      <c r="B87" s="22">
        <v>43.0</v>
      </c>
      <c r="C87" s="104">
        <v>40940.0</v>
      </c>
      <c r="D87" s="22" t="s">
        <v>187</v>
      </c>
      <c r="E87" s="22" t="s">
        <v>185</v>
      </c>
      <c r="F87" s="22">
        <v>13.0</v>
      </c>
      <c r="G87" s="22" t="s">
        <v>352</v>
      </c>
      <c r="H87" s="22" t="s">
        <v>353</v>
      </c>
      <c r="I87" s="22" t="s">
        <v>227</v>
      </c>
      <c r="J87" s="22">
        <v>28.0</v>
      </c>
      <c r="K87" s="22">
        <v>107.0</v>
      </c>
      <c r="L87" s="22" t="s">
        <v>356</v>
      </c>
      <c r="M87" s="22">
        <v>30.0</v>
      </c>
      <c r="N87" s="22">
        <v>50.0</v>
      </c>
      <c r="O87" s="22">
        <v>90.0</v>
      </c>
      <c r="P87" s="22">
        <v>36.0</v>
      </c>
      <c r="Q87" s="22">
        <f t="shared" si="2"/>
        <v>79</v>
      </c>
      <c r="R87" s="22">
        <f t="shared" si="3"/>
        <v>26.1682243</v>
      </c>
      <c r="S87" s="22">
        <f t="shared" si="4"/>
        <v>2012</v>
      </c>
      <c r="T87" s="22">
        <f t="shared" si="5"/>
        <v>79</v>
      </c>
      <c r="U87" s="22" t="str">
        <f t="shared" si="6"/>
        <v>Feb</v>
      </c>
      <c r="V87" s="5"/>
      <c r="W87" s="5"/>
      <c r="X87" s="5"/>
      <c r="Y87" s="5"/>
      <c r="Z87" s="5"/>
    </row>
    <row r="88">
      <c r="A88" s="22">
        <v>850.0</v>
      </c>
      <c r="B88" s="22">
        <v>38.0</v>
      </c>
      <c r="C88" s="104">
        <v>40940.0</v>
      </c>
      <c r="D88" s="22" t="s">
        <v>187</v>
      </c>
      <c r="E88" s="22" t="s">
        <v>186</v>
      </c>
      <c r="F88" s="22">
        <v>10.0</v>
      </c>
      <c r="G88" s="22" t="s">
        <v>352</v>
      </c>
      <c r="H88" s="22" t="s">
        <v>357</v>
      </c>
      <c r="I88" s="22" t="s">
        <v>358</v>
      </c>
      <c r="J88" s="22">
        <v>35.0</v>
      </c>
      <c r="K88" s="22">
        <v>94.0</v>
      </c>
      <c r="L88" s="22" t="s">
        <v>359</v>
      </c>
      <c r="M88" s="22">
        <v>40.0</v>
      </c>
      <c r="N88" s="22">
        <v>50.0</v>
      </c>
      <c r="O88" s="22">
        <v>100.0</v>
      </c>
      <c r="P88" s="22">
        <v>21.0</v>
      </c>
      <c r="Q88" s="22">
        <f t="shared" si="2"/>
        <v>71</v>
      </c>
      <c r="R88" s="22">
        <f t="shared" si="3"/>
        <v>37.23404255</v>
      </c>
      <c r="S88" s="22">
        <f t="shared" si="4"/>
        <v>2012</v>
      </c>
      <c r="T88" s="22">
        <f t="shared" si="5"/>
        <v>59</v>
      </c>
      <c r="U88" s="22" t="str">
        <f t="shared" si="6"/>
        <v>Feb</v>
      </c>
      <c r="V88" s="5"/>
      <c r="W88" s="5"/>
      <c r="X88" s="5"/>
      <c r="Y88" s="5"/>
      <c r="Z88" s="5"/>
    </row>
    <row r="89">
      <c r="A89" s="22">
        <v>562.0</v>
      </c>
      <c r="B89" s="22">
        <v>72.0</v>
      </c>
      <c r="C89" s="104">
        <v>40940.0</v>
      </c>
      <c r="D89" s="22" t="s">
        <v>187</v>
      </c>
      <c r="E89" s="22" t="s">
        <v>184</v>
      </c>
      <c r="F89" s="22">
        <v>23.0</v>
      </c>
      <c r="G89" s="22" t="s">
        <v>352</v>
      </c>
      <c r="H89" s="22" t="s">
        <v>357</v>
      </c>
      <c r="I89" s="22" t="s">
        <v>360</v>
      </c>
      <c r="J89" s="22">
        <v>56.0</v>
      </c>
      <c r="K89" s="22">
        <v>182.0</v>
      </c>
      <c r="L89" s="22" t="s">
        <v>361</v>
      </c>
      <c r="M89" s="22">
        <v>20.0</v>
      </c>
      <c r="N89" s="22">
        <v>50.0</v>
      </c>
      <c r="O89" s="22">
        <v>80.0</v>
      </c>
      <c r="P89" s="22">
        <v>54.0</v>
      </c>
      <c r="Q89" s="22">
        <f t="shared" si="2"/>
        <v>97</v>
      </c>
      <c r="R89" s="22">
        <f t="shared" si="3"/>
        <v>30.76923077</v>
      </c>
      <c r="S89" s="22">
        <f t="shared" si="4"/>
        <v>2012</v>
      </c>
      <c r="T89" s="22">
        <f t="shared" si="5"/>
        <v>126</v>
      </c>
      <c r="U89" s="22" t="str">
        <f t="shared" si="6"/>
        <v>Feb</v>
      </c>
      <c r="V89" s="5"/>
      <c r="W89" s="5"/>
      <c r="X89" s="5"/>
      <c r="Y89" s="5"/>
      <c r="Z89" s="5"/>
    </row>
    <row r="90">
      <c r="A90" s="22">
        <v>712.0</v>
      </c>
      <c r="B90" s="22">
        <v>0.0</v>
      </c>
      <c r="C90" s="104">
        <v>40969.0</v>
      </c>
      <c r="D90" s="22" t="s">
        <v>106</v>
      </c>
      <c r="E90" s="22" t="s">
        <v>107</v>
      </c>
      <c r="F90" s="22">
        <v>0.0</v>
      </c>
      <c r="G90" s="22" t="s">
        <v>108</v>
      </c>
      <c r="H90" s="22" t="s">
        <v>109</v>
      </c>
      <c r="I90" s="22" t="s">
        <v>110</v>
      </c>
      <c r="J90" s="22">
        <v>31.0</v>
      </c>
      <c r="K90" s="22">
        <v>43.0</v>
      </c>
      <c r="L90" s="22" t="s">
        <v>111</v>
      </c>
      <c r="M90" s="22">
        <v>0.0</v>
      </c>
      <c r="N90" s="22">
        <v>60.0</v>
      </c>
      <c r="O90" s="22">
        <v>60.0</v>
      </c>
      <c r="P90" s="22">
        <v>12.0</v>
      </c>
      <c r="Q90" s="22">
        <f t="shared" si="2"/>
        <v>12</v>
      </c>
      <c r="R90" s="22">
        <f t="shared" si="3"/>
        <v>72.09302326</v>
      </c>
      <c r="S90" s="22">
        <f t="shared" si="4"/>
        <v>2012</v>
      </c>
      <c r="T90" s="22">
        <f t="shared" si="5"/>
        <v>12</v>
      </c>
      <c r="U90" s="22" t="str">
        <f t="shared" si="6"/>
        <v>Mar</v>
      </c>
      <c r="V90" s="5"/>
      <c r="W90" s="5"/>
      <c r="X90" s="5"/>
      <c r="Y90" s="5"/>
      <c r="Z90" s="5"/>
    </row>
    <row r="91">
      <c r="A91" s="22">
        <v>860.0</v>
      </c>
      <c r="B91" s="22">
        <v>47.0</v>
      </c>
      <c r="C91" s="104">
        <v>40969.0</v>
      </c>
      <c r="D91" s="22" t="s">
        <v>106</v>
      </c>
      <c r="E91" s="22" t="s">
        <v>186</v>
      </c>
      <c r="F91" s="22">
        <v>15.0</v>
      </c>
      <c r="G91" s="22" t="s">
        <v>108</v>
      </c>
      <c r="H91" s="22" t="s">
        <v>109</v>
      </c>
      <c r="I91" s="22" t="s">
        <v>110</v>
      </c>
      <c r="J91" s="22">
        <v>21.0</v>
      </c>
      <c r="K91" s="22">
        <v>111.0</v>
      </c>
      <c r="L91" s="22" t="s">
        <v>362</v>
      </c>
      <c r="M91" s="22">
        <v>30.0</v>
      </c>
      <c r="N91" s="22">
        <v>50.0</v>
      </c>
      <c r="O91" s="22">
        <v>90.0</v>
      </c>
      <c r="P91" s="22">
        <v>43.0</v>
      </c>
      <c r="Q91" s="22">
        <f t="shared" si="2"/>
        <v>88</v>
      </c>
      <c r="R91" s="22">
        <f t="shared" si="3"/>
        <v>18.91891892</v>
      </c>
      <c r="S91" s="22">
        <f t="shared" si="4"/>
        <v>2012</v>
      </c>
      <c r="T91" s="22">
        <f t="shared" si="5"/>
        <v>90</v>
      </c>
      <c r="U91" s="22" t="str">
        <f t="shared" si="6"/>
        <v>Mar</v>
      </c>
      <c r="V91" s="5"/>
      <c r="W91" s="5"/>
      <c r="X91" s="5"/>
      <c r="Y91" s="5"/>
      <c r="Z91" s="5"/>
    </row>
    <row r="92">
      <c r="A92" s="22">
        <v>918.0</v>
      </c>
      <c r="B92" s="22">
        <v>27.0</v>
      </c>
      <c r="C92" s="104">
        <v>41334.0</v>
      </c>
      <c r="D92" s="22" t="s">
        <v>106</v>
      </c>
      <c r="E92" s="22" t="s">
        <v>185</v>
      </c>
      <c r="F92" s="22">
        <v>7.0</v>
      </c>
      <c r="G92" s="22" t="s">
        <v>108</v>
      </c>
      <c r="H92" s="22" t="s">
        <v>363</v>
      </c>
      <c r="I92" s="22" t="s">
        <v>225</v>
      </c>
      <c r="J92" s="22">
        <v>21.0</v>
      </c>
      <c r="K92" s="22">
        <v>66.0</v>
      </c>
      <c r="L92" s="22" t="s">
        <v>364</v>
      </c>
      <c r="M92" s="22">
        <v>30.0</v>
      </c>
      <c r="N92" s="22">
        <v>60.0</v>
      </c>
      <c r="O92" s="22">
        <v>90.0</v>
      </c>
      <c r="P92" s="22">
        <v>18.0</v>
      </c>
      <c r="Q92" s="22">
        <f t="shared" si="2"/>
        <v>55</v>
      </c>
      <c r="R92" s="22">
        <f t="shared" si="3"/>
        <v>31.81818182</v>
      </c>
      <c r="S92" s="22">
        <f t="shared" si="4"/>
        <v>2013</v>
      </c>
      <c r="T92" s="22">
        <f t="shared" si="5"/>
        <v>45</v>
      </c>
      <c r="U92" s="22" t="str">
        <f t="shared" si="6"/>
        <v>Mar</v>
      </c>
      <c r="V92" s="5"/>
      <c r="W92" s="5"/>
      <c r="X92" s="5"/>
      <c r="Y92" s="5"/>
      <c r="Z92" s="5"/>
    </row>
    <row r="93">
      <c r="A93" s="22">
        <v>775.0</v>
      </c>
      <c r="B93" s="22">
        <v>31.0</v>
      </c>
      <c r="C93" s="104">
        <v>41334.0</v>
      </c>
      <c r="D93" s="22" t="s">
        <v>106</v>
      </c>
      <c r="E93" s="22" t="s">
        <v>184</v>
      </c>
      <c r="F93" s="22">
        <v>9.0</v>
      </c>
      <c r="G93" s="22" t="s">
        <v>108</v>
      </c>
      <c r="H93" s="22" t="s">
        <v>363</v>
      </c>
      <c r="I93" s="22" t="s">
        <v>225</v>
      </c>
      <c r="J93" s="22">
        <v>7.0</v>
      </c>
      <c r="K93" s="22">
        <v>68.0</v>
      </c>
      <c r="L93" s="22" t="s">
        <v>365</v>
      </c>
      <c r="M93" s="22">
        <v>30.0</v>
      </c>
      <c r="N93" s="22">
        <v>50.0</v>
      </c>
      <c r="O93" s="22">
        <v>90.0</v>
      </c>
      <c r="P93" s="22">
        <v>30.0</v>
      </c>
      <c r="Q93" s="22">
        <f t="shared" si="2"/>
        <v>69</v>
      </c>
      <c r="R93" s="22">
        <f t="shared" si="3"/>
        <v>10.29411765</v>
      </c>
      <c r="S93" s="22">
        <f t="shared" si="4"/>
        <v>2013</v>
      </c>
      <c r="T93" s="22">
        <f t="shared" si="5"/>
        <v>61</v>
      </c>
      <c r="U93" s="22" t="str">
        <f t="shared" si="6"/>
        <v>Mar</v>
      </c>
      <c r="V93" s="5"/>
      <c r="W93" s="5"/>
      <c r="X93" s="5"/>
      <c r="Y93" s="5"/>
      <c r="Z93" s="5"/>
    </row>
    <row r="94">
      <c r="A94" s="22">
        <v>435.0</v>
      </c>
      <c r="B94" s="22">
        <v>40.0</v>
      </c>
      <c r="C94" s="104">
        <v>41426.0</v>
      </c>
      <c r="D94" s="22" t="s">
        <v>106</v>
      </c>
      <c r="E94" s="22" t="s">
        <v>184</v>
      </c>
      <c r="F94" s="22">
        <v>11.0</v>
      </c>
      <c r="G94" s="22" t="s">
        <v>108</v>
      </c>
      <c r="H94" s="22" t="s">
        <v>109</v>
      </c>
      <c r="I94" s="22" t="s">
        <v>110</v>
      </c>
      <c r="J94" s="22">
        <v>37.0</v>
      </c>
      <c r="K94" s="22">
        <v>99.0</v>
      </c>
      <c r="L94" s="22" t="s">
        <v>366</v>
      </c>
      <c r="M94" s="22">
        <v>20.0</v>
      </c>
      <c r="N94" s="22">
        <v>60.0</v>
      </c>
      <c r="O94" s="22">
        <v>80.0</v>
      </c>
      <c r="P94" s="22">
        <v>22.0</v>
      </c>
      <c r="Q94" s="22">
        <f t="shared" si="2"/>
        <v>53</v>
      </c>
      <c r="R94" s="22">
        <f t="shared" si="3"/>
        <v>37.37373737</v>
      </c>
      <c r="S94" s="22">
        <f t="shared" si="4"/>
        <v>2013</v>
      </c>
      <c r="T94" s="22">
        <f t="shared" si="5"/>
        <v>62</v>
      </c>
      <c r="U94" s="22" t="str">
        <f t="shared" si="6"/>
        <v>Jun</v>
      </c>
      <c r="V94" s="5"/>
      <c r="W94" s="5"/>
      <c r="X94" s="5"/>
      <c r="Y94" s="5"/>
      <c r="Z94" s="5"/>
    </row>
    <row r="95">
      <c r="A95" s="22">
        <v>603.0</v>
      </c>
      <c r="B95" s="22">
        <v>49.0</v>
      </c>
      <c r="C95" s="104">
        <v>41456.0</v>
      </c>
      <c r="D95" s="22" t="s">
        <v>106</v>
      </c>
      <c r="E95" s="22" t="s">
        <v>186</v>
      </c>
      <c r="F95" s="22">
        <v>15.0</v>
      </c>
      <c r="G95" s="22" t="s">
        <v>108</v>
      </c>
      <c r="H95" s="22" t="s">
        <v>363</v>
      </c>
      <c r="I95" s="22" t="s">
        <v>367</v>
      </c>
      <c r="J95" s="22">
        <v>33.0</v>
      </c>
      <c r="K95" s="22">
        <v>120.0</v>
      </c>
      <c r="L95" s="22" t="s">
        <v>368</v>
      </c>
      <c r="M95" s="22">
        <v>30.0</v>
      </c>
      <c r="N95" s="22">
        <v>60.0</v>
      </c>
      <c r="O95" s="22">
        <v>90.0</v>
      </c>
      <c r="P95" s="22">
        <v>38.0</v>
      </c>
      <c r="Q95" s="22">
        <f t="shared" si="2"/>
        <v>83</v>
      </c>
      <c r="R95" s="22">
        <f t="shared" si="3"/>
        <v>27.5</v>
      </c>
      <c r="S95" s="22">
        <f t="shared" si="4"/>
        <v>2013</v>
      </c>
      <c r="T95" s="22">
        <f t="shared" si="5"/>
        <v>87</v>
      </c>
      <c r="U95" s="22" t="str">
        <f t="shared" si="6"/>
        <v>Jul</v>
      </c>
      <c r="V95" s="5"/>
      <c r="W95" s="5"/>
      <c r="X95" s="5"/>
      <c r="Y95" s="5"/>
      <c r="Z95" s="5"/>
    </row>
    <row r="96">
      <c r="A96" s="22">
        <v>603.0</v>
      </c>
      <c r="B96" s="22">
        <v>45.0</v>
      </c>
      <c r="C96" s="104">
        <v>41456.0</v>
      </c>
      <c r="D96" s="22" t="s">
        <v>106</v>
      </c>
      <c r="E96" s="22" t="s">
        <v>186</v>
      </c>
      <c r="F96" s="22">
        <v>14.0</v>
      </c>
      <c r="G96" s="22" t="s">
        <v>108</v>
      </c>
      <c r="H96" s="22" t="s">
        <v>363</v>
      </c>
      <c r="I96" s="22" t="s">
        <v>369</v>
      </c>
      <c r="J96" s="22">
        <v>24.0</v>
      </c>
      <c r="K96" s="22">
        <v>114.0</v>
      </c>
      <c r="L96" s="22" t="s">
        <v>368</v>
      </c>
      <c r="M96" s="22">
        <v>30.0</v>
      </c>
      <c r="N96" s="22">
        <v>50.0</v>
      </c>
      <c r="O96" s="22">
        <v>90.0</v>
      </c>
      <c r="P96" s="22">
        <v>45.0</v>
      </c>
      <c r="Q96" s="22">
        <f t="shared" si="2"/>
        <v>89</v>
      </c>
      <c r="R96" s="22">
        <f t="shared" si="3"/>
        <v>21.05263158</v>
      </c>
      <c r="S96" s="22">
        <f t="shared" si="4"/>
        <v>2013</v>
      </c>
      <c r="T96" s="22">
        <f t="shared" si="5"/>
        <v>90</v>
      </c>
      <c r="U96" s="22" t="str">
        <f t="shared" si="6"/>
        <v>Jul</v>
      </c>
      <c r="V96" s="5"/>
      <c r="W96" s="5"/>
      <c r="X96" s="5"/>
      <c r="Y96" s="5"/>
      <c r="Z96" s="5"/>
    </row>
    <row r="97">
      <c r="A97" s="22">
        <v>603.0</v>
      </c>
      <c r="B97" s="22">
        <v>45.0</v>
      </c>
      <c r="C97" s="104">
        <v>41487.0</v>
      </c>
      <c r="D97" s="22" t="s">
        <v>106</v>
      </c>
      <c r="E97" s="22" t="s">
        <v>186</v>
      </c>
      <c r="F97" s="22">
        <v>41.0</v>
      </c>
      <c r="G97" s="22" t="s">
        <v>108</v>
      </c>
      <c r="H97" s="22" t="s">
        <v>109</v>
      </c>
      <c r="I97" s="22" t="s">
        <v>370</v>
      </c>
      <c r="J97" s="22">
        <v>-7.0</v>
      </c>
      <c r="K97" s="22">
        <v>109.0</v>
      </c>
      <c r="L97" s="22" t="s">
        <v>368</v>
      </c>
      <c r="M97" s="22">
        <v>30.0</v>
      </c>
      <c r="N97" s="22">
        <v>30.0</v>
      </c>
      <c r="O97" s="22">
        <v>90.0</v>
      </c>
      <c r="P97" s="22">
        <v>71.0</v>
      </c>
      <c r="Q97" s="22">
        <f t="shared" si="2"/>
        <v>142</v>
      </c>
      <c r="R97" s="22">
        <f t="shared" si="3"/>
        <v>-6.422018349</v>
      </c>
      <c r="S97" s="22">
        <f t="shared" si="4"/>
        <v>2013</v>
      </c>
      <c r="T97" s="22">
        <f t="shared" si="5"/>
        <v>116</v>
      </c>
      <c r="U97" s="22" t="str">
        <f t="shared" si="6"/>
        <v>Aug</v>
      </c>
      <c r="V97" s="5"/>
      <c r="W97" s="5"/>
      <c r="X97" s="5"/>
      <c r="Y97" s="5"/>
      <c r="Z97" s="5"/>
    </row>
    <row r="98">
      <c r="A98" s="22">
        <v>318.0</v>
      </c>
      <c r="B98" s="22">
        <v>60.0</v>
      </c>
      <c r="C98" s="104">
        <v>41487.0</v>
      </c>
      <c r="D98" s="22" t="s">
        <v>106</v>
      </c>
      <c r="E98" s="22" t="s">
        <v>185</v>
      </c>
      <c r="F98" s="22">
        <v>54.0</v>
      </c>
      <c r="G98" s="22" t="s">
        <v>108</v>
      </c>
      <c r="H98" s="22" t="s">
        <v>109</v>
      </c>
      <c r="I98" s="22" t="s">
        <v>226</v>
      </c>
      <c r="J98" s="22">
        <v>1.0</v>
      </c>
      <c r="K98" s="22">
        <v>144.0</v>
      </c>
      <c r="L98" s="22" t="s">
        <v>371</v>
      </c>
      <c r="M98" s="22">
        <v>30.0</v>
      </c>
      <c r="N98" s="22">
        <v>10.0</v>
      </c>
      <c r="O98" s="22">
        <v>90.0</v>
      </c>
      <c r="P98" s="22">
        <v>83.0</v>
      </c>
      <c r="Q98" s="22">
        <f t="shared" si="2"/>
        <v>167</v>
      </c>
      <c r="R98" s="22">
        <f t="shared" si="3"/>
        <v>0.6944444444</v>
      </c>
      <c r="S98" s="22">
        <f t="shared" si="4"/>
        <v>2013</v>
      </c>
      <c r="T98" s="22">
        <f t="shared" si="5"/>
        <v>143</v>
      </c>
      <c r="U98" s="22" t="str">
        <f t="shared" si="6"/>
        <v>Aug</v>
      </c>
      <c r="V98" s="5"/>
      <c r="W98" s="5"/>
      <c r="X98" s="5"/>
      <c r="Y98" s="5"/>
      <c r="Z98" s="5"/>
    </row>
    <row r="99">
      <c r="A99" s="22">
        <v>775.0</v>
      </c>
      <c r="B99" s="22">
        <v>34.0</v>
      </c>
      <c r="C99" s="104">
        <v>41548.0</v>
      </c>
      <c r="D99" s="22" t="s">
        <v>106</v>
      </c>
      <c r="E99" s="22" t="s">
        <v>184</v>
      </c>
      <c r="F99" s="22">
        <v>12.0</v>
      </c>
      <c r="G99" s="22" t="s">
        <v>108</v>
      </c>
      <c r="H99" s="22" t="s">
        <v>363</v>
      </c>
      <c r="I99" s="22" t="s">
        <v>369</v>
      </c>
      <c r="J99" s="22">
        <v>-2.0</v>
      </c>
      <c r="K99" s="22">
        <v>77.0</v>
      </c>
      <c r="L99" s="22" t="s">
        <v>365</v>
      </c>
      <c r="M99" s="22">
        <v>40.0</v>
      </c>
      <c r="N99" s="22">
        <v>30.0</v>
      </c>
      <c r="O99" s="22">
        <v>100.0</v>
      </c>
      <c r="P99" s="22">
        <v>45.0</v>
      </c>
      <c r="Q99" s="22">
        <f t="shared" si="2"/>
        <v>97</v>
      </c>
      <c r="R99" s="22">
        <f t="shared" si="3"/>
        <v>-2.597402597</v>
      </c>
      <c r="S99" s="22">
        <f t="shared" si="4"/>
        <v>2013</v>
      </c>
      <c r="T99" s="22">
        <f t="shared" si="5"/>
        <v>79</v>
      </c>
      <c r="U99" s="22" t="str">
        <f t="shared" si="6"/>
        <v>Oct</v>
      </c>
      <c r="V99" s="5"/>
      <c r="W99" s="5"/>
      <c r="X99" s="5"/>
      <c r="Y99" s="5"/>
      <c r="Z99" s="5"/>
    </row>
    <row r="100">
      <c r="A100" s="22">
        <v>503.0</v>
      </c>
      <c r="B100" s="22">
        <v>54.0</v>
      </c>
      <c r="C100" s="104">
        <v>41548.0</v>
      </c>
      <c r="D100" s="22" t="s">
        <v>106</v>
      </c>
      <c r="E100" s="22" t="s">
        <v>184</v>
      </c>
      <c r="F100" s="22">
        <v>20.0</v>
      </c>
      <c r="G100" s="22" t="s">
        <v>108</v>
      </c>
      <c r="H100" s="22" t="s">
        <v>109</v>
      </c>
      <c r="I100" s="22" t="s">
        <v>226</v>
      </c>
      <c r="J100" s="22">
        <v>12.0</v>
      </c>
      <c r="K100" s="22">
        <v>120.0</v>
      </c>
      <c r="L100" s="22" t="s">
        <v>372</v>
      </c>
      <c r="M100" s="22">
        <v>40.0</v>
      </c>
      <c r="N100" s="22">
        <v>40.0</v>
      </c>
      <c r="O100" s="22">
        <v>100.0</v>
      </c>
      <c r="P100" s="22">
        <v>54.0</v>
      </c>
      <c r="Q100" s="22">
        <f t="shared" si="2"/>
        <v>114</v>
      </c>
      <c r="R100" s="22">
        <f t="shared" si="3"/>
        <v>10</v>
      </c>
      <c r="S100" s="22">
        <f t="shared" si="4"/>
        <v>2013</v>
      </c>
      <c r="T100" s="22">
        <f t="shared" si="5"/>
        <v>108</v>
      </c>
      <c r="U100" s="22" t="str">
        <f t="shared" si="6"/>
        <v>Oct</v>
      </c>
      <c r="V100" s="5"/>
      <c r="W100" s="5"/>
      <c r="X100" s="5"/>
      <c r="Y100" s="5"/>
      <c r="Z100" s="5"/>
    </row>
    <row r="101">
      <c r="A101" s="22">
        <v>573.0</v>
      </c>
      <c r="B101" s="22">
        <v>45.0</v>
      </c>
      <c r="C101" s="104">
        <v>41548.0</v>
      </c>
      <c r="D101" s="22" t="s">
        <v>106</v>
      </c>
      <c r="E101" s="22" t="s">
        <v>107</v>
      </c>
      <c r="F101" s="22">
        <v>41.0</v>
      </c>
      <c r="G101" s="22" t="s">
        <v>352</v>
      </c>
      <c r="H101" s="22" t="s">
        <v>353</v>
      </c>
      <c r="I101" s="22" t="s">
        <v>373</v>
      </c>
      <c r="J101" s="22">
        <v>-6.0</v>
      </c>
      <c r="K101" s="22">
        <v>109.0</v>
      </c>
      <c r="L101" s="22" t="s">
        <v>374</v>
      </c>
      <c r="M101" s="22">
        <v>20.0</v>
      </c>
      <c r="N101" s="22">
        <v>30.0</v>
      </c>
      <c r="O101" s="22">
        <v>80.0</v>
      </c>
      <c r="P101" s="22">
        <v>70.0</v>
      </c>
      <c r="Q101" s="22">
        <f t="shared" si="2"/>
        <v>131</v>
      </c>
      <c r="R101" s="22">
        <f t="shared" si="3"/>
        <v>-5.504587156</v>
      </c>
      <c r="S101" s="22">
        <f t="shared" si="4"/>
        <v>2013</v>
      </c>
      <c r="T101" s="22">
        <f t="shared" si="5"/>
        <v>115</v>
      </c>
      <c r="U101" s="22" t="str">
        <f t="shared" si="6"/>
        <v>Oct</v>
      </c>
      <c r="V101" s="5"/>
      <c r="W101" s="5"/>
      <c r="X101" s="5"/>
      <c r="Y101" s="5"/>
      <c r="Z101" s="5"/>
    </row>
    <row r="102">
      <c r="A102" s="22">
        <v>262.0</v>
      </c>
      <c r="B102" s="22">
        <v>48.0</v>
      </c>
      <c r="C102" s="104">
        <v>41548.0</v>
      </c>
      <c r="D102" s="22" t="s">
        <v>106</v>
      </c>
      <c r="E102" s="22" t="s">
        <v>107</v>
      </c>
      <c r="F102" s="22">
        <v>13.0</v>
      </c>
      <c r="G102" s="22" t="s">
        <v>352</v>
      </c>
      <c r="H102" s="22" t="s">
        <v>353</v>
      </c>
      <c r="I102" s="22" t="s">
        <v>227</v>
      </c>
      <c r="J102" s="22">
        <v>45.0</v>
      </c>
      <c r="K102" s="22">
        <v>118.0</v>
      </c>
      <c r="L102" s="22" t="s">
        <v>375</v>
      </c>
      <c r="M102" s="22">
        <v>30.0</v>
      </c>
      <c r="N102" s="22">
        <v>60.0</v>
      </c>
      <c r="O102" s="22">
        <v>90.0</v>
      </c>
      <c r="P102" s="22">
        <v>25.0</v>
      </c>
      <c r="Q102" s="22">
        <f t="shared" si="2"/>
        <v>68</v>
      </c>
      <c r="R102" s="22">
        <f t="shared" si="3"/>
        <v>38.13559322</v>
      </c>
      <c r="S102" s="22">
        <f t="shared" si="4"/>
        <v>2013</v>
      </c>
      <c r="T102" s="22">
        <f t="shared" si="5"/>
        <v>73</v>
      </c>
      <c r="U102" s="22" t="str">
        <f t="shared" si="6"/>
        <v>Oct</v>
      </c>
      <c r="V102" s="5"/>
      <c r="W102" s="5"/>
      <c r="X102" s="5"/>
      <c r="Y102" s="5"/>
      <c r="Z102" s="5"/>
    </row>
    <row r="103">
      <c r="A103" s="22">
        <v>801.0</v>
      </c>
      <c r="B103" s="22">
        <v>49.0</v>
      </c>
      <c r="C103" s="104">
        <v>41548.0</v>
      </c>
      <c r="D103" s="22" t="s">
        <v>106</v>
      </c>
      <c r="E103" s="22" t="s">
        <v>184</v>
      </c>
      <c r="F103" s="22">
        <v>15.0</v>
      </c>
      <c r="G103" s="22" t="s">
        <v>352</v>
      </c>
      <c r="H103" s="22" t="s">
        <v>353</v>
      </c>
      <c r="I103" s="22" t="s">
        <v>373</v>
      </c>
      <c r="J103" s="22">
        <v>33.0</v>
      </c>
      <c r="K103" s="22">
        <v>120.0</v>
      </c>
      <c r="L103" s="22" t="s">
        <v>366</v>
      </c>
      <c r="M103" s="22">
        <v>30.0</v>
      </c>
      <c r="N103" s="22">
        <v>60.0</v>
      </c>
      <c r="O103" s="22">
        <v>90.0</v>
      </c>
      <c r="P103" s="22">
        <v>38.0</v>
      </c>
      <c r="Q103" s="22">
        <f t="shared" si="2"/>
        <v>83</v>
      </c>
      <c r="R103" s="22">
        <f t="shared" si="3"/>
        <v>27.5</v>
      </c>
      <c r="S103" s="22">
        <f t="shared" si="4"/>
        <v>2013</v>
      </c>
      <c r="T103" s="22">
        <f t="shared" si="5"/>
        <v>87</v>
      </c>
      <c r="U103" s="22" t="str">
        <f t="shared" si="6"/>
        <v>Oct</v>
      </c>
      <c r="V103" s="5"/>
      <c r="W103" s="5"/>
      <c r="X103" s="5"/>
      <c r="Y103" s="5"/>
      <c r="Z103" s="5"/>
    </row>
    <row r="104">
      <c r="A104" s="5"/>
      <c r="B104" s="5"/>
      <c r="C104" s="5"/>
      <c r="D104" s="5"/>
      <c r="E104" s="5"/>
      <c r="F104" s="5"/>
      <c r="G104" s="5"/>
      <c r="H104" s="5"/>
      <c r="I104" s="5"/>
      <c r="J104" s="5"/>
      <c r="K104" s="5"/>
      <c r="L104" s="5"/>
      <c r="M104" s="5"/>
      <c r="N104" s="5"/>
      <c r="O104" s="5"/>
      <c r="P104" s="5"/>
      <c r="Q104" s="5"/>
      <c r="R104" s="66"/>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66"/>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66"/>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66"/>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66"/>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66"/>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66"/>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66"/>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66"/>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66"/>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66"/>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66"/>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66"/>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66"/>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66"/>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66"/>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66"/>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66"/>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66"/>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66"/>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66"/>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66"/>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66"/>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66"/>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66"/>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66"/>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66"/>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66"/>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66"/>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66"/>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66"/>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66"/>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66"/>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66"/>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66"/>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66"/>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66"/>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66"/>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66"/>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66"/>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66"/>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66"/>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66"/>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66"/>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66"/>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66"/>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66"/>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66"/>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66"/>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66"/>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66"/>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66"/>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66"/>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66"/>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66"/>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66"/>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66"/>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66"/>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66"/>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66"/>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66"/>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66"/>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66"/>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66"/>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66"/>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66"/>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66"/>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66"/>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66"/>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66"/>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66"/>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66"/>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66"/>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66"/>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66"/>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66"/>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66"/>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66"/>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66"/>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66"/>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66"/>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66"/>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66"/>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66"/>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66"/>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66"/>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66"/>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66"/>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66"/>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66"/>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66"/>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66"/>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66"/>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66"/>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66"/>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66"/>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66"/>
      <c r="S200" s="5"/>
      <c r="T200" s="5"/>
      <c r="U200" s="5"/>
      <c r="V200" s="5"/>
      <c r="W200" s="5"/>
      <c r="X200" s="5"/>
      <c r="Y200" s="5"/>
      <c r="Z200" s="5"/>
    </row>
  </sheetData>
  <customSheetViews>
    <customSheetView guid="{983BA6D8-7D2E-41C6-80AE-421FFF89E787}" filter="1" showAutoFilter="1">
      <autoFilter ref="$A$84:$U$103"/>
    </customSheetView>
  </customSheetView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05" t="str">
        <f t="array" ref="C1:D9">SORT(A1:B9,2,false)</f>
        <v>toss_winner</v>
      </c>
      <c r="D1" s="105" t="s">
        <v>376</v>
      </c>
    </row>
    <row r="2">
      <c r="C2" s="105" t="s">
        <v>26</v>
      </c>
      <c r="D2" s="105">
        <v>3.0</v>
      </c>
    </row>
    <row r="3">
      <c r="C3" s="105" t="s">
        <v>24</v>
      </c>
      <c r="D3" s="105">
        <v>3.0</v>
      </c>
    </row>
    <row r="4">
      <c r="C4" s="105" t="s">
        <v>21</v>
      </c>
      <c r="D4" s="105">
        <v>3.0</v>
      </c>
    </row>
    <row r="5">
      <c r="C5" s="105" t="s">
        <v>17</v>
      </c>
      <c r="D5" s="105">
        <v>2.0</v>
      </c>
    </row>
    <row r="6">
      <c r="C6" s="105" t="s">
        <v>20</v>
      </c>
      <c r="D6" s="105">
        <v>1.0</v>
      </c>
    </row>
    <row r="7">
      <c r="C7" s="105" t="s">
        <v>16</v>
      </c>
      <c r="D7" s="105">
        <v>1.0</v>
      </c>
    </row>
    <row r="8">
      <c r="C8" s="105" t="s">
        <v>12</v>
      </c>
      <c r="D8" s="105">
        <v>1.0</v>
      </c>
    </row>
    <row r="9">
      <c r="C9" s="105" t="s">
        <v>11</v>
      </c>
      <c r="D9" s="105">
        <v>1.0</v>
      </c>
    </row>
    <row r="10"/>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106" t="s">
        <v>378</v>
      </c>
    </row>
    <row r="2">
      <c r="C2" s="105">
        <f t="shared" ref="C2:C3" si="1">B2/($B$4/100)</f>
        <v>55.17241379</v>
      </c>
      <c r="E2" s="35" t="s">
        <v>380</v>
      </c>
    </row>
    <row r="3">
      <c r="C3" s="105">
        <f t="shared" si="1"/>
        <v>44.82758621</v>
      </c>
    </row>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